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96" documentId="13_ncr:1_{69F25521-FDE9-495F-BB5C-C42C97454E31}" xr6:coauthVersionLast="47" xr6:coauthVersionMax="47" xr10:uidLastSave="{D0AC4A3A-F8EC-44CE-971C-8292F94ACDCD}"/>
  <bookViews>
    <workbookView xWindow="-120" yWindow="-120" windowWidth="19440" windowHeight="15000" tabRatio="864" activeTab="1" xr2:uid="{00000000-000D-0000-FFFF-FFFF00000000}"/>
  </bookViews>
  <sheets>
    <sheet name="Parrilla de Aireación " sheetId="16" r:id="rId1"/>
    <sheet name="Planta Pincta" sheetId="9" r:id="rId2"/>
    <sheet name="Tuberias de Aireación" sheetId="19" r:id="rId3"/>
    <sheet name="Tubería de Succión" sheetId="20" r:id="rId4"/>
    <sheet name="Tubería de Soplador" sheetId="22" r:id="rId5"/>
    <sheet name="Escalera" sheetId="24" r:id="rId6"/>
    <sheet name="Datos Escalera" sheetId="21" r:id="rId7"/>
    <sheet name="Agua-T(°C)" sheetId="12" r:id="rId8"/>
    <sheet name="Diagrama de Moody" sheetId="23" r:id="rId9"/>
  </sheets>
  <externalReferences>
    <externalReference r:id="rId10"/>
    <externalReference r:id="rId11"/>
    <externalReference r:id="rId12"/>
  </externalReferences>
  <definedNames>
    <definedName name="_8.00">'Agua-T(°C)'!#REF!</definedName>
    <definedName name="_Hlk100998761" localSheetId="0">'Parrilla de Aireación '!$B$69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9" l="1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44" i="24"/>
  <c r="H42" i="24"/>
  <c r="H35" i="24"/>
  <c r="H31" i="24"/>
  <c r="G30" i="24"/>
  <c r="G32" i="24" s="1"/>
  <c r="E30" i="24"/>
  <c r="E32" i="24" s="1"/>
  <c r="H29" i="24"/>
  <c r="G28" i="24"/>
  <c r="G36" i="24" s="1"/>
  <c r="E28" i="24"/>
  <c r="E36" i="24" s="1"/>
  <c r="E26" i="24"/>
  <c r="E27" i="24" s="1"/>
  <c r="G25" i="24"/>
  <c r="E25" i="24"/>
  <c r="G24" i="24"/>
  <c r="G26" i="24" s="1"/>
  <c r="E24" i="24"/>
  <c r="E40" i="24" s="1"/>
  <c r="E23" i="24"/>
  <c r="D22" i="24" s="1"/>
  <c r="H22" i="24"/>
  <c r="H20" i="24"/>
  <c r="G19" i="24"/>
  <c r="E19" i="24"/>
  <c r="H18" i="24"/>
  <c r="G17" i="24"/>
  <c r="H17" i="24" s="1"/>
  <c r="E17" i="24"/>
  <c r="H16" i="24"/>
  <c r="G15" i="24"/>
  <c r="G23" i="24" s="1"/>
  <c r="H23" i="24" s="1"/>
  <c r="E15" i="24"/>
  <c r="E21" i="24" s="1"/>
  <c r="E33" i="24" s="1"/>
  <c r="D33" i="24" s="1"/>
  <c r="H14" i="24"/>
  <c r="H19" i="24" l="1"/>
  <c r="H25" i="24"/>
  <c r="G40" i="24"/>
  <c r="H40" i="24" s="1"/>
  <c r="E34" i="24"/>
  <c r="E37" i="24"/>
  <c r="G34" i="24"/>
  <c r="H32" i="24"/>
  <c r="G37" i="24"/>
  <c r="H36" i="24"/>
  <c r="G21" i="24"/>
  <c r="H15" i="24"/>
  <c r="H24" i="24"/>
  <c r="H28" i="24"/>
  <c r="H30" i="24"/>
  <c r="G91" i="9"/>
  <c r="H37" i="24" l="1"/>
  <c r="H26" i="24"/>
  <c r="G27" i="24"/>
  <c r="H27" i="24" s="1"/>
  <c r="H34" i="24"/>
  <c r="H21" i="24"/>
  <c r="G33" i="24"/>
  <c r="H33" i="24" s="1"/>
  <c r="E91" i="9"/>
  <c r="H90" i="9"/>
  <c r="H89" i="9"/>
  <c r="H96" i="9" l="1"/>
  <c r="E8" i="22" l="1"/>
  <c r="H26" i="22" l="1"/>
  <c r="H24" i="22"/>
  <c r="H23" i="22"/>
  <c r="H12" i="22"/>
  <c r="H11" i="22"/>
  <c r="H6" i="22"/>
  <c r="G8" i="22"/>
  <c r="G5" i="22"/>
  <c r="H5" i="22" s="1"/>
  <c r="G4" i="22"/>
  <c r="G7" i="22" s="1"/>
  <c r="B32" i="22"/>
  <c r="B33" i="22" s="1"/>
  <c r="B34" i="22" s="1"/>
  <c r="B35" i="22" s="1"/>
  <c r="B36" i="22" s="1"/>
  <c r="B37" i="22" s="1"/>
  <c r="B38" i="22" s="1"/>
  <c r="H27" i="22"/>
  <c r="H21" i="22"/>
  <c r="E9" i="22"/>
  <c r="E5" i="22"/>
  <c r="G16" i="16"/>
  <c r="E16" i="16"/>
  <c r="H8" i="22" l="1"/>
  <c r="G9" i="22"/>
  <c r="H9" i="22" s="1"/>
  <c r="G22" i="22"/>
  <c r="E25" i="22"/>
  <c r="H16" i="16"/>
  <c r="G25" i="22" l="1"/>
  <c r="H25" i="22"/>
  <c r="G10" i="22"/>
  <c r="E27" i="9"/>
  <c r="G88" i="9"/>
  <c r="E88" i="9"/>
  <c r="H27" i="20"/>
  <c r="H25" i="20"/>
  <c r="H21" i="20"/>
  <c r="H18" i="20"/>
  <c r="H16" i="20"/>
  <c r="H8" i="20"/>
  <c r="H7" i="20"/>
  <c r="H5" i="20"/>
  <c r="G7" i="20"/>
  <c r="H19" i="19"/>
  <c r="H15" i="19"/>
  <c r="H7" i="19"/>
  <c r="H6" i="19"/>
  <c r="H4" i="19"/>
  <c r="G18" i="19"/>
  <c r="G6" i="19"/>
  <c r="G49" i="9"/>
  <c r="G104" i="9" s="1"/>
  <c r="G105" i="9" s="1"/>
  <c r="G46" i="16"/>
  <c r="G22" i="16"/>
  <c r="G63" i="16" s="1"/>
  <c r="H129" i="9"/>
  <c r="H126" i="9"/>
  <c r="H117" i="9"/>
  <c r="H115" i="9"/>
  <c r="H112" i="9"/>
  <c r="H111" i="9"/>
  <c r="H101" i="9"/>
  <c r="H97" i="9"/>
  <c r="H94" i="9"/>
  <c r="H91" i="9"/>
  <c r="H87" i="9"/>
  <c r="H79" i="9"/>
  <c r="H77" i="9"/>
  <c r="H71" i="9"/>
  <c r="H65" i="9"/>
  <c r="H62" i="9"/>
  <c r="H60" i="9"/>
  <c r="H59" i="9"/>
  <c r="H58" i="9"/>
  <c r="H56" i="9"/>
  <c r="H50" i="9"/>
  <c r="H46" i="9"/>
  <c r="H41" i="9"/>
  <c r="H40" i="9"/>
  <c r="H35" i="9"/>
  <c r="H33" i="9"/>
  <c r="H32" i="9"/>
  <c r="H30" i="9"/>
  <c r="H26" i="9"/>
  <c r="H21" i="9"/>
  <c r="H18" i="9"/>
  <c r="H16" i="9"/>
  <c r="H15" i="9"/>
  <c r="H14" i="9"/>
  <c r="G113" i="9"/>
  <c r="G108" i="9"/>
  <c r="G61" i="9"/>
  <c r="G47" i="9"/>
  <c r="G45" i="9"/>
  <c r="G36" i="9"/>
  <c r="G38" i="9" s="1"/>
  <c r="G27" i="9"/>
  <c r="G28" i="9" s="1"/>
  <c r="G15" i="16" s="1"/>
  <c r="G22" i="9"/>
  <c r="G23" i="9" s="1"/>
  <c r="G20" i="9"/>
  <c r="G19" i="9"/>
  <c r="G17" i="9"/>
  <c r="H92" i="16"/>
  <c r="H79" i="16"/>
  <c r="H78" i="16"/>
  <c r="H75" i="16"/>
  <c r="H69" i="16"/>
  <c r="H60" i="16"/>
  <c r="H54" i="16"/>
  <c r="H52" i="16"/>
  <c r="H45" i="16"/>
  <c r="H43" i="16"/>
  <c r="H31" i="16"/>
  <c r="H30" i="16"/>
  <c r="H29" i="16"/>
  <c r="H25" i="16"/>
  <c r="H24" i="16"/>
  <c r="H21" i="16"/>
  <c r="H20" i="16"/>
  <c r="H18" i="16"/>
  <c r="H17" i="16"/>
  <c r="H14" i="16"/>
  <c r="G80" i="16"/>
  <c r="G76" i="16"/>
  <c r="G67" i="16"/>
  <c r="G64" i="16"/>
  <c r="G71" i="16" s="1"/>
  <c r="G59" i="16"/>
  <c r="G35" i="16"/>
  <c r="G32" i="16"/>
  <c r="G76" i="9" s="1"/>
  <c r="G26" i="16"/>
  <c r="G27" i="16" s="1"/>
  <c r="G49" i="16" l="1"/>
  <c r="H88" i="9"/>
  <c r="G17" i="19"/>
  <c r="G20" i="19" s="1"/>
  <c r="G102" i="9"/>
  <c r="G61" i="16"/>
  <c r="G65" i="16"/>
  <c r="G72" i="16"/>
  <c r="G23" i="16"/>
  <c r="E59" i="16"/>
  <c r="H59" i="16" s="1"/>
  <c r="G62" i="16" l="1"/>
  <c r="G91" i="16"/>
  <c r="G13" i="22" s="1"/>
  <c r="G14" i="22" s="1"/>
  <c r="G36" i="16"/>
  <c r="G31" i="9"/>
  <c r="G68" i="16"/>
  <c r="G28" i="16"/>
  <c r="G73" i="16"/>
  <c r="G66" i="16"/>
  <c r="H27" i="9"/>
  <c r="G18" i="22" l="1"/>
  <c r="G17" i="22"/>
  <c r="G15" i="22"/>
  <c r="G34" i="9"/>
  <c r="G39" i="9" s="1"/>
  <c r="G42" i="9"/>
  <c r="G37" i="9"/>
  <c r="G19" i="20" s="1"/>
  <c r="G20" i="20" s="1"/>
  <c r="G22" i="20" s="1"/>
  <c r="G47" i="16"/>
  <c r="G19" i="22" l="1"/>
  <c r="G43" i="9"/>
  <c r="G103" i="9" s="1"/>
  <c r="G106" i="9" l="1"/>
  <c r="G48" i="9"/>
  <c r="G51" i="9" s="1"/>
  <c r="G52" i="9" s="1"/>
  <c r="E7" i="20"/>
  <c r="E18" i="19"/>
  <c r="H18" i="19" s="1"/>
  <c r="E17" i="19"/>
  <c r="H17" i="19" s="1"/>
  <c r="E26" i="16"/>
  <c r="C32" i="20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E112" i="16"/>
  <c r="E108" i="16"/>
  <c r="E110" i="16" s="1"/>
  <c r="E107" i="16"/>
  <c r="E104" i="16"/>
  <c r="E102" i="16"/>
  <c r="E103" i="16" s="1"/>
  <c r="E40" i="16" l="1"/>
  <c r="G40" i="16"/>
  <c r="G41" i="16" s="1"/>
  <c r="D51" i="20"/>
  <c r="G51" i="20" s="1"/>
  <c r="C52" i="20"/>
  <c r="G95" i="9"/>
  <c r="G53" i="9"/>
  <c r="E61" i="16"/>
  <c r="H26" i="16"/>
  <c r="E20" i="19"/>
  <c r="E31" i="9" s="1"/>
  <c r="E105" i="16"/>
  <c r="D105" i="16" s="1"/>
  <c r="H61" i="16" l="1"/>
  <c r="E13" i="22"/>
  <c r="E91" i="16"/>
  <c r="H40" i="16"/>
  <c r="H31" i="9"/>
  <c r="H20" i="19"/>
  <c r="C53" i="20"/>
  <c r="D52" i="20"/>
  <c r="G52" i="20" s="1"/>
  <c r="G98" i="9"/>
  <c r="G99" i="9" s="1"/>
  <c r="G127" i="9"/>
  <c r="G55" i="9"/>
  <c r="E36" i="16"/>
  <c r="H36" i="16" s="1"/>
  <c r="E106" i="16"/>
  <c r="D106" i="16" l="1"/>
  <c r="G33" i="16"/>
  <c r="G34" i="16" s="1"/>
  <c r="G37" i="16" s="1"/>
  <c r="G24" i="9" s="1"/>
  <c r="D53" i="20"/>
  <c r="G53" i="20" s="1"/>
  <c r="C54" i="20"/>
  <c r="G57" i="9"/>
  <c r="G63" i="9"/>
  <c r="G128" i="9"/>
  <c r="G130" i="9" s="1"/>
  <c r="G100" i="9"/>
  <c r="E46" i="16"/>
  <c r="H46" i="16" s="1"/>
  <c r="E22" i="16"/>
  <c r="G131" i="9" l="1"/>
  <c r="G72" i="9"/>
  <c r="G73" i="9" s="1"/>
  <c r="G81" i="9" s="1"/>
  <c r="G39" i="16"/>
  <c r="C55" i="20"/>
  <c r="D54" i="20"/>
  <c r="G54" i="20" s="1"/>
  <c r="G107" i="9"/>
  <c r="G64" i="9"/>
  <c r="E63" i="16"/>
  <c r="H63" i="16" s="1"/>
  <c r="H22" i="16"/>
  <c r="E36" i="9"/>
  <c r="H36" i="9" s="1"/>
  <c r="E35" i="16"/>
  <c r="H35" i="16" s="1"/>
  <c r="E28" i="9"/>
  <c r="E15" i="16" s="1"/>
  <c r="H15" i="16" s="1"/>
  <c r="D102" i="9"/>
  <c r="G42" i="16" l="1"/>
  <c r="G97" i="16" s="1"/>
  <c r="G95" i="16"/>
  <c r="G70" i="16"/>
  <c r="G74" i="16" s="1"/>
  <c r="G77" i="16" s="1"/>
  <c r="G38" i="16"/>
  <c r="C56" i="20"/>
  <c r="D55" i="20"/>
  <c r="G55" i="20" s="1"/>
  <c r="G67" i="9"/>
  <c r="G66" i="9"/>
  <c r="H28" i="9"/>
  <c r="G109" i="9"/>
  <c r="E6" i="19"/>
  <c r="B25" i="19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G48" i="16" l="1"/>
  <c r="G84" i="16" s="1"/>
  <c r="G81" i="16"/>
  <c r="G82" i="16" s="1"/>
  <c r="G98" i="16" s="1"/>
  <c r="G17" i="20"/>
  <c r="G23" i="20" s="1"/>
  <c r="G26" i="20" s="1"/>
  <c r="G28" i="20" s="1"/>
  <c r="G6" i="20"/>
  <c r="G5" i="19"/>
  <c r="C57" i="20"/>
  <c r="D56" i="20"/>
  <c r="G56" i="20" s="1"/>
  <c r="G110" i="9"/>
  <c r="G116" i="9"/>
  <c r="G68" i="9"/>
  <c r="E113" i="9"/>
  <c r="H113" i="9" s="1"/>
  <c r="G83" i="16" l="1"/>
  <c r="G85" i="16" s="1"/>
  <c r="G86" i="16" s="1"/>
  <c r="G10" i="20"/>
  <c r="G9" i="20"/>
  <c r="G11" i="20" s="1"/>
  <c r="G16" i="19"/>
  <c r="G9" i="19"/>
  <c r="G8" i="19"/>
  <c r="G10" i="19" s="1"/>
  <c r="G12" i="19" s="1"/>
  <c r="D57" i="20"/>
  <c r="G57" i="20" s="1"/>
  <c r="C58" i="20"/>
  <c r="G114" i="9"/>
  <c r="G118" i="9"/>
  <c r="G69" i="9"/>
  <c r="E33" i="16"/>
  <c r="H33" i="16" s="1"/>
  <c r="G13" i="19" l="1"/>
  <c r="G13" i="20"/>
  <c r="G14" i="20"/>
  <c r="G85" i="9"/>
  <c r="G74" i="9"/>
  <c r="G86" i="9" s="1"/>
  <c r="C59" i="20"/>
  <c r="D58" i="20"/>
  <c r="G58" i="20" s="1"/>
  <c r="G4" i="20" l="1"/>
  <c r="D59" i="20"/>
  <c r="G59" i="20" s="1"/>
  <c r="C60" i="20"/>
  <c r="D60" i="20" s="1"/>
  <c r="G60" i="20" s="1"/>
  <c r="E20" i="9"/>
  <c r="G92" i="9" l="1"/>
  <c r="D20" i="9"/>
  <c r="H20" i="9"/>
  <c r="E61" i="9"/>
  <c r="H61" i="9" s="1"/>
  <c r="E45" i="9" l="1"/>
  <c r="H45" i="9" s="1"/>
  <c r="E80" i="16" l="1"/>
  <c r="H80" i="16" s="1"/>
  <c r="E76" i="16"/>
  <c r="H76" i="16" s="1"/>
  <c r="E67" i="16"/>
  <c r="E41" i="16"/>
  <c r="H41" i="16" s="1"/>
  <c r="E34" i="16"/>
  <c r="E37" i="16" s="1"/>
  <c r="E32" i="16"/>
  <c r="E27" i="16"/>
  <c r="H27" i="16" s="1"/>
  <c r="E64" i="16"/>
  <c r="E49" i="16" l="1"/>
  <c r="H49" i="16" s="1"/>
  <c r="H32" i="16"/>
  <c r="E68" i="16"/>
  <c r="H68" i="16" s="1"/>
  <c r="H67" i="16"/>
  <c r="H37" i="16"/>
  <c r="H34" i="16"/>
  <c r="E71" i="16"/>
  <c r="E72" i="16" s="1"/>
  <c r="H64" i="16"/>
  <c r="E72" i="9"/>
  <c r="E76" i="9"/>
  <c r="H76" i="9" s="1"/>
  <c r="E39" i="16"/>
  <c r="E62" i="16"/>
  <c r="E23" i="16"/>
  <c r="H72" i="9" l="1"/>
  <c r="E39" i="24"/>
  <c r="G39" i="24"/>
  <c r="H13" i="22"/>
  <c r="E42" i="16"/>
  <c r="E95" i="16"/>
  <c r="H95" i="16" s="1"/>
  <c r="E70" i="16"/>
  <c r="H70" i="16" s="1"/>
  <c r="E38" i="16"/>
  <c r="H39" i="16"/>
  <c r="E28" i="16"/>
  <c r="H23" i="16"/>
  <c r="E65" i="16"/>
  <c r="H62" i="16"/>
  <c r="E73" i="16"/>
  <c r="H73" i="16" s="1"/>
  <c r="H72" i="16"/>
  <c r="E24" i="9"/>
  <c r="H24" i="9" s="1"/>
  <c r="H91" i="16"/>
  <c r="H71" i="16"/>
  <c r="E73" i="9"/>
  <c r="H39" i="24" l="1"/>
  <c r="G43" i="24"/>
  <c r="G41" i="24"/>
  <c r="D41" i="24"/>
  <c r="E41" i="24"/>
  <c r="E43" i="24"/>
  <c r="E45" i="24" s="1"/>
  <c r="D45" i="24" s="1"/>
  <c r="H38" i="16"/>
  <c r="E6" i="20"/>
  <c r="H6" i="20" s="1"/>
  <c r="E17" i="20"/>
  <c r="H17" i="20" s="1"/>
  <c r="E81" i="9"/>
  <c r="H81" i="9" s="1"/>
  <c r="H73" i="9"/>
  <c r="E47" i="16"/>
  <c r="H47" i="16" s="1"/>
  <c r="H28" i="16"/>
  <c r="E66" i="16"/>
  <c r="H66" i="16" s="1"/>
  <c r="H65" i="16"/>
  <c r="E9" i="20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E10" i="20" l="1"/>
  <c r="H10" i="20" s="1"/>
  <c r="E11" i="20"/>
  <c r="H11" i="20" s="1"/>
  <c r="H9" i="20"/>
  <c r="E22" i="9"/>
  <c r="H22" i="9" s="1"/>
  <c r="E13" i="20" l="1"/>
  <c r="H13" i="20" s="1"/>
  <c r="E14" i="20"/>
  <c r="H14" i="20" s="1"/>
  <c r="E23" i="9"/>
  <c r="H23" i="9" s="1"/>
  <c r="E4" i="20" l="1"/>
  <c r="H4" i="20" s="1"/>
  <c r="E19" i="9"/>
  <c r="E17" i="9"/>
  <c r="H17" i="9" s="1"/>
  <c r="D104" i="9"/>
  <c r="E49" i="9"/>
  <c r="H49" i="9" s="1"/>
  <c r="E47" i="9"/>
  <c r="H47" i="9" s="1"/>
  <c r="D19" i="9" l="1"/>
  <c r="H19" i="9"/>
  <c r="E104" i="9"/>
  <c r="E102" i="9"/>
  <c r="H102" i="9" s="1"/>
  <c r="E105" i="9" l="1"/>
  <c r="H105" i="9" s="1"/>
  <c r="H104" i="9"/>
  <c r="E108" i="9"/>
  <c r="H108" i="9" s="1"/>
  <c r="E38" i="9" l="1"/>
  <c r="H38" i="9" s="1"/>
  <c r="E23" i="20" l="1"/>
  <c r="D31" i="20" l="1"/>
  <c r="H23" i="20"/>
  <c r="E97" i="16"/>
  <c r="H97" i="16" s="1"/>
  <c r="H42" i="16"/>
  <c r="E5" i="19"/>
  <c r="E48" i="16"/>
  <c r="E74" i="16"/>
  <c r="E4" i="22" l="1"/>
  <c r="E77" i="16"/>
  <c r="H77" i="16" s="1"/>
  <c r="E9" i="19"/>
  <c r="H9" i="19" s="1"/>
  <c r="H5" i="19"/>
  <c r="D32" i="20"/>
  <c r="G31" i="20"/>
  <c r="E84" i="16"/>
  <c r="H84" i="16" s="1"/>
  <c r="H48" i="16"/>
  <c r="H74" i="16"/>
  <c r="E8" i="19"/>
  <c r="E16" i="19"/>
  <c r="E22" i="22" l="1"/>
  <c r="E7" i="22"/>
  <c r="H4" i="22"/>
  <c r="D24" i="19"/>
  <c r="G24" i="19" s="1"/>
  <c r="H16" i="19"/>
  <c r="D33" i="20"/>
  <c r="G32" i="20"/>
  <c r="E10" i="19"/>
  <c r="H8" i="19"/>
  <c r="E81" i="16"/>
  <c r="D25" i="19" l="1"/>
  <c r="G25" i="19" s="1"/>
  <c r="E10" i="22"/>
  <c r="H10" i="22" s="1"/>
  <c r="H7" i="22"/>
  <c r="E14" i="22"/>
  <c r="C31" i="22"/>
  <c r="H22" i="22"/>
  <c r="D34" i="20"/>
  <c r="G33" i="20"/>
  <c r="E12" i="19"/>
  <c r="H10" i="19"/>
  <c r="E82" i="16"/>
  <c r="H81" i="16"/>
  <c r="D26" i="19" l="1"/>
  <c r="E15" i="22"/>
  <c r="H15" i="22" s="1"/>
  <c r="H14" i="22"/>
  <c r="E18" i="22"/>
  <c r="H18" i="22" s="1"/>
  <c r="E17" i="22"/>
  <c r="C32" i="22"/>
  <c r="D31" i="22"/>
  <c r="E31" i="22" s="1"/>
  <c r="E13" i="19"/>
  <c r="H13" i="19" s="1"/>
  <c r="H12" i="19"/>
  <c r="D27" i="19"/>
  <c r="E27" i="19" s="1"/>
  <c r="G26" i="19"/>
  <c r="D35" i="20"/>
  <c r="G34" i="20"/>
  <c r="H82" i="16"/>
  <c r="E83" i="16"/>
  <c r="E98" i="16"/>
  <c r="H98" i="16" s="1"/>
  <c r="E26" i="19"/>
  <c r="E24" i="19"/>
  <c r="E25" i="19"/>
  <c r="E19" i="22" l="1"/>
  <c r="H19" i="22" s="1"/>
  <c r="H17" i="22"/>
  <c r="F31" i="22"/>
  <c r="G31" i="22"/>
  <c r="C33" i="22"/>
  <c r="D32" i="22"/>
  <c r="E32" i="22" s="1"/>
  <c r="D28" i="19"/>
  <c r="G27" i="19"/>
  <c r="D36" i="20"/>
  <c r="G35" i="20"/>
  <c r="E85" i="16"/>
  <c r="E86" i="16" s="1"/>
  <c r="H83" i="16"/>
  <c r="H31" i="22" l="1"/>
  <c r="F32" i="22"/>
  <c r="G32" i="22"/>
  <c r="C34" i="22"/>
  <c r="D33" i="22"/>
  <c r="E33" i="22" s="1"/>
  <c r="D29" i="19"/>
  <c r="G28" i="19"/>
  <c r="E28" i="19"/>
  <c r="D37" i="20"/>
  <c r="G36" i="20"/>
  <c r="H85" i="16"/>
  <c r="E85" i="9"/>
  <c r="H85" i="9" s="1"/>
  <c r="H32" i="22" l="1"/>
  <c r="F33" i="22"/>
  <c r="G33" i="22"/>
  <c r="C35" i="22"/>
  <c r="D34" i="22"/>
  <c r="E34" i="22" s="1"/>
  <c r="D30" i="19"/>
  <c r="G29" i="19"/>
  <c r="E29" i="19"/>
  <c r="D38" i="20"/>
  <c r="G37" i="20"/>
  <c r="E74" i="9"/>
  <c r="H74" i="9" s="1"/>
  <c r="H86" i="16"/>
  <c r="E37" i="9"/>
  <c r="E34" i="9"/>
  <c r="D35" i="22" l="1"/>
  <c r="E35" i="22" s="1"/>
  <c r="C36" i="22"/>
  <c r="F34" i="22"/>
  <c r="G34" i="22"/>
  <c r="H33" i="22"/>
  <c r="D31" i="19"/>
  <c r="G30" i="19"/>
  <c r="E30" i="19"/>
  <c r="D39" i="20"/>
  <c r="G38" i="20"/>
  <c r="E19" i="20"/>
  <c r="H37" i="9"/>
  <c r="E39" i="9"/>
  <c r="H39" i="9" s="1"/>
  <c r="H34" i="9"/>
  <c r="H34" i="22" l="1"/>
  <c r="C37" i="22"/>
  <c r="D36" i="22"/>
  <c r="E36" i="22" s="1"/>
  <c r="F35" i="22"/>
  <c r="G35" i="22"/>
  <c r="D32" i="19"/>
  <c r="G31" i="19"/>
  <c r="E31" i="19"/>
  <c r="E20" i="20"/>
  <c r="H19" i="20"/>
  <c r="D40" i="20"/>
  <c r="G39" i="20"/>
  <c r="G36" i="22" l="1"/>
  <c r="F36" i="22"/>
  <c r="H36" i="22" s="1"/>
  <c r="D37" i="22"/>
  <c r="E37" i="22" s="1"/>
  <c r="C38" i="22"/>
  <c r="D38" i="22" s="1"/>
  <c r="E38" i="22" s="1"/>
  <c r="H35" i="22"/>
  <c r="D41" i="20"/>
  <c r="G40" i="20"/>
  <c r="D33" i="19"/>
  <c r="G32" i="19"/>
  <c r="E32" i="19"/>
  <c r="E22" i="20"/>
  <c r="H20" i="20"/>
  <c r="G37" i="22" l="1"/>
  <c r="F37" i="22"/>
  <c r="H37" i="22" s="1"/>
  <c r="F38" i="22"/>
  <c r="G38" i="22"/>
  <c r="D34" i="19"/>
  <c r="G33" i="19"/>
  <c r="E33" i="19"/>
  <c r="E53" i="20"/>
  <c r="H22" i="20"/>
  <c r="E38" i="20"/>
  <c r="E33" i="20"/>
  <c r="E32" i="20"/>
  <c r="E31" i="20"/>
  <c r="E58" i="20"/>
  <c r="E26" i="20"/>
  <c r="E54" i="20"/>
  <c r="E52" i="20"/>
  <c r="E51" i="20"/>
  <c r="E39" i="20"/>
  <c r="E37" i="20"/>
  <c r="E59" i="20"/>
  <c r="E34" i="20"/>
  <c r="E40" i="20"/>
  <c r="E57" i="20"/>
  <c r="E36" i="20"/>
  <c r="E56" i="20"/>
  <c r="E60" i="20"/>
  <c r="E55" i="20"/>
  <c r="E41" i="20"/>
  <c r="E35" i="20"/>
  <c r="D42" i="20"/>
  <c r="E42" i="20" s="1"/>
  <c r="G41" i="20"/>
  <c r="G28" i="22" l="1"/>
  <c r="G2" i="22" s="1"/>
  <c r="H38" i="22"/>
  <c r="E28" i="22"/>
  <c r="E2" i="22" s="1"/>
  <c r="E88" i="16" s="1"/>
  <c r="E89" i="16" s="1"/>
  <c r="E90" i="16" s="1"/>
  <c r="E93" i="16" s="1"/>
  <c r="E94" i="16" s="1"/>
  <c r="E96" i="16" s="1"/>
  <c r="E28" i="20"/>
  <c r="H28" i="20" s="1"/>
  <c r="H26" i="20"/>
  <c r="D35" i="19"/>
  <c r="G34" i="19"/>
  <c r="E34" i="19"/>
  <c r="D43" i="20"/>
  <c r="G42" i="20"/>
  <c r="E42" i="9"/>
  <c r="H28" i="22" l="1"/>
  <c r="G88" i="16"/>
  <c r="H2" i="22"/>
  <c r="D44" i="20"/>
  <c r="G43" i="20"/>
  <c r="E43" i="20"/>
  <c r="D36" i="19"/>
  <c r="G35" i="19"/>
  <c r="E35" i="19"/>
  <c r="E43" i="9"/>
  <c r="H43" i="9" s="1"/>
  <c r="H42" i="9"/>
  <c r="G89" i="16" l="1"/>
  <c r="H88" i="16"/>
  <c r="E48" i="9"/>
  <c r="H48" i="9" s="1"/>
  <c r="E103" i="9"/>
  <c r="H103" i="9" s="1"/>
  <c r="D45" i="20"/>
  <c r="G44" i="20"/>
  <c r="E44" i="20"/>
  <c r="E106" i="9"/>
  <c r="H106" i="9" s="1"/>
  <c r="D37" i="19"/>
  <c r="G36" i="19"/>
  <c r="E36" i="19"/>
  <c r="E51" i="9"/>
  <c r="E99" i="16"/>
  <c r="G90" i="16" l="1"/>
  <c r="H89" i="16"/>
  <c r="D38" i="19"/>
  <c r="G37" i="19"/>
  <c r="E37" i="19"/>
  <c r="D46" i="20"/>
  <c r="G45" i="20"/>
  <c r="E45" i="20"/>
  <c r="E52" i="9"/>
  <c r="H51" i="9"/>
  <c r="G93" i="16" l="1"/>
  <c r="H90" i="16"/>
  <c r="D39" i="19"/>
  <c r="G38" i="19"/>
  <c r="E38" i="19"/>
  <c r="D47" i="20"/>
  <c r="G46" i="20"/>
  <c r="E46" i="20"/>
  <c r="H52" i="9"/>
  <c r="E53" i="9"/>
  <c r="E95" i="9"/>
  <c r="D52" i="9"/>
  <c r="H95" i="9" l="1"/>
  <c r="G94" i="16"/>
  <c r="G121" i="9"/>
  <c r="H93" i="16"/>
  <c r="D40" i="19"/>
  <c r="G39" i="19"/>
  <c r="E39" i="19"/>
  <c r="D48" i="20"/>
  <c r="G47" i="20"/>
  <c r="E47" i="20"/>
  <c r="H53" i="9"/>
  <c r="E127" i="9"/>
  <c r="D53" i="9"/>
  <c r="E55" i="9"/>
  <c r="E98" i="9"/>
  <c r="E99" i="9" s="1"/>
  <c r="G96" i="16" l="1"/>
  <c r="H94" i="16"/>
  <c r="D41" i="19"/>
  <c r="G40" i="19"/>
  <c r="E40" i="19"/>
  <c r="D49" i="20"/>
  <c r="G48" i="20"/>
  <c r="E48" i="20"/>
  <c r="H55" i="9"/>
  <c r="E57" i="9"/>
  <c r="H57" i="9" s="1"/>
  <c r="E63" i="9"/>
  <c r="E128" i="9"/>
  <c r="E130" i="9" s="1"/>
  <c r="H127" i="9"/>
  <c r="H98" i="9"/>
  <c r="E131" i="9" l="1"/>
  <c r="H131" i="9" s="1"/>
  <c r="H130" i="9"/>
  <c r="G99" i="16"/>
  <c r="H99" i="16" s="1"/>
  <c r="H96" i="16"/>
  <c r="D42" i="19"/>
  <c r="G41" i="19"/>
  <c r="E41" i="19"/>
  <c r="D50" i="20"/>
  <c r="G49" i="20"/>
  <c r="E49" i="20"/>
  <c r="H128" i="9"/>
  <c r="E64" i="9"/>
  <c r="H63" i="9"/>
  <c r="E100" i="9"/>
  <c r="H99" i="9"/>
  <c r="D43" i="19" l="1"/>
  <c r="G42" i="19"/>
  <c r="E42" i="19"/>
  <c r="G50" i="20"/>
  <c r="G24" i="20" s="1"/>
  <c r="E50" i="20"/>
  <c r="E24" i="20" s="1"/>
  <c r="E15" i="20" s="1"/>
  <c r="H64" i="9"/>
  <c r="E66" i="9"/>
  <c r="H66" i="9" s="1"/>
  <c r="E67" i="9"/>
  <c r="H100" i="9"/>
  <c r="E107" i="9"/>
  <c r="D106" i="9"/>
  <c r="E3" i="20" l="1"/>
  <c r="D44" i="19"/>
  <c r="G43" i="19"/>
  <c r="E43" i="19"/>
  <c r="G15" i="20"/>
  <c r="G3" i="20" s="1"/>
  <c r="H24" i="20"/>
  <c r="E68" i="9"/>
  <c r="H67" i="9"/>
  <c r="H107" i="9"/>
  <c r="D107" i="9"/>
  <c r="E109" i="9"/>
  <c r="E50" i="16" l="1"/>
  <c r="G50" i="16"/>
  <c r="H3" i="20"/>
  <c r="H15" i="20"/>
  <c r="D45" i="19"/>
  <c r="G44" i="19"/>
  <c r="E44" i="19"/>
  <c r="H109" i="9"/>
  <c r="E110" i="9"/>
  <c r="E116" i="9"/>
  <c r="H68" i="9"/>
  <c r="E69" i="9"/>
  <c r="D68" i="9" s="1"/>
  <c r="D46" i="19" l="1"/>
  <c r="G45" i="19"/>
  <c r="E45" i="19"/>
  <c r="H50" i="16"/>
  <c r="H116" i="9"/>
  <c r="E118" i="9"/>
  <c r="E114" i="9"/>
  <c r="H114" i="9" s="1"/>
  <c r="H110" i="9"/>
  <c r="H69" i="9"/>
  <c r="E86" i="9"/>
  <c r="D86" i="9" s="1"/>
  <c r="D57" i="9"/>
  <c r="D47" i="19" l="1"/>
  <c r="G46" i="19"/>
  <c r="E46" i="19"/>
  <c r="H86" i="9"/>
  <c r="H118" i="9"/>
  <c r="D48" i="19" l="1"/>
  <c r="G47" i="19"/>
  <c r="E47" i="19"/>
  <c r="H84" i="9"/>
  <c r="E121" i="9"/>
  <c r="E92" i="9"/>
  <c r="D49" i="19" l="1"/>
  <c r="G48" i="19"/>
  <c r="E48" i="19"/>
  <c r="H92" i="9"/>
  <c r="H121" i="9"/>
  <c r="D50" i="19" l="1"/>
  <c r="G49" i="19"/>
  <c r="E49" i="19"/>
  <c r="D51" i="19" l="1"/>
  <c r="G50" i="19"/>
  <c r="E50" i="19"/>
  <c r="D52" i="19" l="1"/>
  <c r="G51" i="19"/>
  <c r="E51" i="19"/>
  <c r="D53" i="19" l="1"/>
  <c r="G52" i="19"/>
  <c r="E52" i="19"/>
  <c r="D54" i="19" l="1"/>
  <c r="G53" i="19"/>
  <c r="E53" i="19"/>
  <c r="D55" i="19" l="1"/>
  <c r="G54" i="19"/>
  <c r="E54" i="19"/>
  <c r="D56" i="19" l="1"/>
  <c r="G55" i="19"/>
  <c r="E55" i="19"/>
  <c r="G56" i="19" l="1"/>
  <c r="G21" i="19" s="1"/>
  <c r="E56" i="19"/>
  <c r="E21" i="19" s="1"/>
  <c r="E2" i="19" s="1"/>
  <c r="E51" i="16" l="1"/>
  <c r="E75" i="9"/>
  <c r="H21" i="19"/>
  <c r="G2" i="19"/>
  <c r="E78" i="9" l="1"/>
  <c r="E80" i="9" s="1"/>
  <c r="E82" i="9" s="1"/>
  <c r="E120" i="9" s="1"/>
  <c r="E53" i="16"/>
  <c r="E55" i="16" s="1"/>
  <c r="G75" i="9"/>
  <c r="G78" i="9" s="1"/>
  <c r="G51" i="16"/>
  <c r="G53" i="16" s="1"/>
  <c r="H2" i="19"/>
  <c r="G55" i="16" l="1"/>
  <c r="H53" i="16"/>
  <c r="G80" i="9"/>
  <c r="H78" i="9"/>
  <c r="H75" i="9"/>
  <c r="E57" i="16"/>
  <c r="E122" i="9" s="1"/>
  <c r="E56" i="16"/>
  <c r="H51" i="16"/>
  <c r="G82" i="9" l="1"/>
  <c r="H80" i="9"/>
  <c r="G57" i="16"/>
  <c r="G122" i="9" s="1"/>
  <c r="G56" i="16"/>
  <c r="H56" i="16" s="1"/>
  <c r="H55" i="16"/>
  <c r="E123" i="9"/>
  <c r="E124" i="9" s="1"/>
  <c r="G120" i="9" l="1"/>
  <c r="H120" i="9" s="1"/>
  <c r="H82" i="9"/>
  <c r="H57" i="16"/>
  <c r="G123" i="9" l="1"/>
  <c r="H122" i="9"/>
  <c r="G124" i="9" l="1"/>
  <c r="H124" i="9" s="1"/>
  <c r="H123" i="9"/>
</calcChain>
</file>

<file path=xl/sharedStrings.xml><?xml version="1.0" encoding="utf-8"?>
<sst xmlns="http://schemas.openxmlformats.org/spreadsheetml/2006/main" count="925" uniqueCount="509">
  <si>
    <t>Variables Principales de Entrada</t>
  </si>
  <si>
    <t>Indicadores de Control</t>
  </si>
  <si>
    <t>m/s</t>
  </si>
  <si>
    <t>hv</t>
  </si>
  <si>
    <t xml:space="preserve">m </t>
  </si>
  <si>
    <t>u</t>
  </si>
  <si>
    <t>mm</t>
  </si>
  <si>
    <t>mm2</t>
  </si>
  <si>
    <t>Lps</t>
  </si>
  <si>
    <t>pg</t>
  </si>
  <si>
    <t xml:space="preserve">Cabeza de Velocidad </t>
  </si>
  <si>
    <t>m</t>
  </si>
  <si>
    <t>Ph</t>
  </si>
  <si>
    <t>Kw</t>
  </si>
  <si>
    <t>Altitud</t>
  </si>
  <si>
    <t>msnm</t>
  </si>
  <si>
    <t>Temperatura</t>
  </si>
  <si>
    <t>T°C</t>
  </si>
  <si>
    <t>kPa</t>
  </si>
  <si>
    <t>mg/L</t>
  </si>
  <si>
    <t>N</t>
  </si>
  <si>
    <t>KgO2/hora</t>
  </si>
  <si>
    <t>kg/m3</t>
  </si>
  <si>
    <t xml:space="preserve">Longitud  </t>
  </si>
  <si>
    <t>Perdidas de Cabeza en Tubería</t>
  </si>
  <si>
    <t>m2</t>
  </si>
  <si>
    <t>Kg O2/hora</t>
  </si>
  <si>
    <t>°C</t>
  </si>
  <si>
    <t>Concentración Nitrógeno Amoniacal Efluente</t>
  </si>
  <si>
    <t>mg NH4/L</t>
  </si>
  <si>
    <t>Eficiencia de Bombeo</t>
  </si>
  <si>
    <t>Curva Característica de la Bomba</t>
  </si>
  <si>
    <t>HP</t>
  </si>
  <si>
    <t>Kw-h/año</t>
  </si>
  <si>
    <t>Accesorios</t>
  </si>
  <si>
    <t>Diferencia de Altura</t>
  </si>
  <si>
    <t>Vt</t>
  </si>
  <si>
    <t>Kg/m3</t>
  </si>
  <si>
    <t>gr/m2-día</t>
  </si>
  <si>
    <t>mg DBO5/L</t>
  </si>
  <si>
    <t>Concentración de DBO5 Afluente</t>
  </si>
  <si>
    <t>Kg N/día</t>
  </si>
  <si>
    <t>Clasificación de la Información</t>
  </si>
  <si>
    <t>kW-h/m3</t>
  </si>
  <si>
    <t>Caudal de Diseño de la Planta</t>
  </si>
  <si>
    <t>Tabla 1.4</t>
  </si>
  <si>
    <t>Concentración de NH4 Afluente</t>
  </si>
  <si>
    <t>Concentración de Fósforo Afluente</t>
  </si>
  <si>
    <t>mg P/L</t>
  </si>
  <si>
    <t>Relación N/P de Entrada</t>
  </si>
  <si>
    <t>Kg O2/Kw-h</t>
  </si>
  <si>
    <t xml:space="preserve">Remoción de Nitrógeno por Nitrificación Heterótrofa </t>
  </si>
  <si>
    <t>Tasa de Consumo de Oxígeno para Nitrificación Heterótrofa</t>
  </si>
  <si>
    <t>mgNH4/L</t>
  </si>
  <si>
    <t>Eficiencia en Remoción de NH4</t>
  </si>
  <si>
    <t xml:space="preserve">mgNH4/L  </t>
  </si>
  <si>
    <t>Kg/día</t>
  </si>
  <si>
    <t>Concentración de Carbono Requerida para Nitrificación Heterótrofa</t>
  </si>
  <si>
    <t>mgDBO5/L</t>
  </si>
  <si>
    <t>Concentración de Carbono a Añadir</t>
  </si>
  <si>
    <t>Total Cabeza de Bombeo de Recirculación</t>
  </si>
  <si>
    <t>Potencia de Bomba de Recirculación</t>
  </si>
  <si>
    <t>Factor de Utilización</t>
  </si>
  <si>
    <t xml:space="preserve">Consumo Total Anual de Energía </t>
  </si>
  <si>
    <t>Tasa de Producción de Biomasa Heterótrofa</t>
  </si>
  <si>
    <t>gr Biomasa/gr NH4</t>
  </si>
  <si>
    <t>Carga de Nitrogeno Amoniacal asimilada</t>
  </si>
  <si>
    <t>Producción de Biomasa Heterótrofa</t>
  </si>
  <si>
    <t>Tasa de Conversión Alimenticia</t>
  </si>
  <si>
    <t>Kg alimento/Kg peces</t>
  </si>
  <si>
    <t>Cálculo del Carbono Requerido</t>
  </si>
  <si>
    <t>Kg/m2-año</t>
  </si>
  <si>
    <t>Clorela</t>
  </si>
  <si>
    <t>Contenido de Proteina</t>
  </si>
  <si>
    <t>Kg/año</t>
  </si>
  <si>
    <t>Ton/ha-año</t>
  </si>
  <si>
    <t>Proporción de Nitrógeno en Proteina</t>
  </si>
  <si>
    <t>Largo de Estanque</t>
  </si>
  <si>
    <t>Cabeza de Velocidad en Garganta</t>
  </si>
  <si>
    <t>Caudal por Boquilla</t>
  </si>
  <si>
    <t>Potencia Hidráulica por Boquilla</t>
  </si>
  <si>
    <t>Cantidad Diaria de Carbono a Añadir</t>
  </si>
  <si>
    <t>Porcentaje de Carbohidratos Caña de Azucar</t>
  </si>
  <si>
    <t>Ton/año</t>
  </si>
  <si>
    <t>Area Requerida de Caña</t>
  </si>
  <si>
    <t>Has</t>
  </si>
  <si>
    <t>Cantidad de Caña de Azucar a Suministrar</t>
  </si>
  <si>
    <t>Condiciones de Entrada</t>
  </si>
  <si>
    <t>Relación DBO5/P de Entrada &gt;20</t>
  </si>
  <si>
    <t>Concentración de NH4 a remover</t>
  </si>
  <si>
    <t>Relación C/N Requerida en Nitrificación Heterotrofa</t>
  </si>
  <si>
    <t>Kg</t>
  </si>
  <si>
    <t>grNH4/m2-d</t>
  </si>
  <si>
    <t>Parámetros y Datos de Diseño Calculados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</si>
  <si>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</si>
  <si>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</si>
  <si>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>https://www.thermexcel.com/english/tables/eau_atm.htm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</si>
  <si>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</si>
  <si>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</si>
  <si>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Diametro</t>
  </si>
  <si>
    <t xml:space="preserve">Velocidad Media </t>
  </si>
  <si>
    <t xml:space="preserve">Material </t>
  </si>
  <si>
    <t>PVC</t>
  </si>
  <si>
    <t>Km</t>
  </si>
  <si>
    <t>Cantidad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</si>
  <si>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</si>
  <si>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>Parámetros de Diseño Asumidos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</si>
  <si>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</si>
  <si>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</si>
  <si>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</si>
  <si>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</si>
  <si>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</si>
  <si>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</si>
  <si>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Fuente</t>
  </si>
  <si>
    <t>Separación entre Boquillas</t>
  </si>
  <si>
    <t>oC</t>
  </si>
  <si>
    <t>Presion a Nivel del Mar</t>
  </si>
  <si>
    <t>Pnm</t>
  </si>
  <si>
    <t>Factor de Presión</t>
  </si>
  <si>
    <t>Pt</t>
  </si>
  <si>
    <t>Altura de la Zona con Efecto Venturi</t>
  </si>
  <si>
    <t>Salinidad del Agua</t>
  </si>
  <si>
    <t>gr/L</t>
  </si>
  <si>
    <t xml:space="preserve">Concentración de Saturación de O2  para Temperatura </t>
  </si>
  <si>
    <t>Concentración de Saturación de O2  para Temperatura  y Altitud</t>
  </si>
  <si>
    <t>Phe</t>
  </si>
  <si>
    <t>Concentración de Saturación de O2 en el Terreno</t>
  </si>
  <si>
    <t>Cst</t>
  </si>
  <si>
    <t xml:space="preserve">Factor de Correcciòn por Salinidad y Tensión Superficial </t>
  </si>
  <si>
    <t xml:space="preserve"> β</t>
  </si>
  <si>
    <t>Saturación de O2 en Condiciones Standard (nivel del mar y 20°C)</t>
  </si>
  <si>
    <t>,,</t>
  </si>
  <si>
    <t>Area de Flujo en Gargantas</t>
  </si>
  <si>
    <t>Diámetro EquIvalente de la Boquilla</t>
  </si>
  <si>
    <t>D = 2*H</t>
  </si>
  <si>
    <t>SOTE</t>
  </si>
  <si>
    <t>SOTR</t>
  </si>
  <si>
    <t>Factor de Corrección de Transferencia de O2 para Aguas Residuales</t>
  </si>
  <si>
    <t xml:space="preserve"> α</t>
  </si>
  <si>
    <t>Tipo de Aguas  a Tratar</t>
  </si>
  <si>
    <r>
      <t>Cs</t>
    </r>
    <r>
      <rPr>
        <sz val="8"/>
        <rFont val="Arial"/>
        <family val="2"/>
      </rPr>
      <t>20</t>
    </r>
  </si>
  <si>
    <t>Factor Tranferencia de O2 en Condiciones Reales</t>
  </si>
  <si>
    <t>Kg O2/h</t>
  </si>
  <si>
    <t>Profundidad de Aireación con Burbujas</t>
  </si>
  <si>
    <t xml:space="preserve"> Guía de Sanitaire (Ref. A-5)</t>
  </si>
  <si>
    <t>Presión del Aire a la Altitud del Sitio</t>
  </si>
  <si>
    <t>m.c.a.</t>
  </si>
  <si>
    <t>Densidad del Aire al Nivel del Mar</t>
  </si>
  <si>
    <t>Contenido de Oxígeno al Nivel del Mar</t>
  </si>
  <si>
    <t>Tasa de Transferencia de O2 en Condiciones Standard</t>
  </si>
  <si>
    <t>Tasa de Transferencia de O2 en el Sitio por Burbujas</t>
  </si>
  <si>
    <t>Tasa de Transferencia de O2 por Efecto Venturi</t>
  </si>
  <si>
    <t>Cabeza de Presión en Soplador</t>
  </si>
  <si>
    <t>γ</t>
  </si>
  <si>
    <t>Eficiencia del Soplador</t>
  </si>
  <si>
    <t>No de Lineas de Aireación</t>
  </si>
  <si>
    <t>Caudal por Línea de Aireación</t>
  </si>
  <si>
    <t>PVC Corrugada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</si>
  <si>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</rPr>
      <t xml:space="preserve"> =</t>
    </r>
  </si>
  <si>
    <t>Caudal por Ramal</t>
  </si>
  <si>
    <t>Longitud  Total</t>
  </si>
  <si>
    <t>Longitud  Ramal</t>
  </si>
  <si>
    <t>Longitud del Tramo</t>
  </si>
  <si>
    <t>Número de Tramos</t>
  </si>
  <si>
    <t>Caudal de Entrada por Tramo</t>
  </si>
  <si>
    <t>Area de las Perforaciones</t>
  </si>
  <si>
    <r>
      <t>cm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/m</t>
    </r>
  </si>
  <si>
    <t>Velocidad en las Perforaciones</t>
  </si>
  <si>
    <t>Coeficiente de Perdidas Km</t>
  </si>
  <si>
    <t>Perdidas de Cabeza en Perforaciones</t>
  </si>
  <si>
    <t>cm</t>
  </si>
  <si>
    <t>Tramo</t>
  </si>
  <si>
    <t>Caudal</t>
  </si>
  <si>
    <t>Pérdidas</t>
  </si>
  <si>
    <t>Perdidas Totales</t>
  </si>
  <si>
    <t>KgrNH4/hora</t>
  </si>
  <si>
    <t>KgO2/KgNH4</t>
  </si>
  <si>
    <t>Tasa de Remoción de NH4  Requerida</t>
  </si>
  <si>
    <t>Cabeza de Velocidad en la Boquilla</t>
  </si>
  <si>
    <t>Caudal de Recirculación en el Estanque</t>
  </si>
  <si>
    <t>Parametros de la Boquilla</t>
  </si>
  <si>
    <t>Area Interceptada por Tubo Transversal</t>
  </si>
  <si>
    <t>Largo Ranura</t>
  </si>
  <si>
    <t>Ancho Ranura</t>
  </si>
  <si>
    <t>Area Ranura</t>
  </si>
  <si>
    <t>Diametro Interior de Tubo Transversal</t>
  </si>
  <si>
    <t>Tipo K</t>
  </si>
  <si>
    <t>Area de Entradas de Aire al Tubo Transversal</t>
  </si>
  <si>
    <t xml:space="preserve">Caudal  </t>
  </si>
  <si>
    <t>Tubería de Descarga de Bomba</t>
  </si>
  <si>
    <t>Caudal de Bomba Elevadora hacia Estanque</t>
  </si>
  <si>
    <t>Tasa de Transferencia de O2 de Bomba Elevadora</t>
  </si>
  <si>
    <t>Tasa de Suministro de Oxígeno Requerida por Recirculación</t>
  </si>
  <si>
    <t>Rango de Peso de los Peces</t>
  </si>
  <si>
    <t>Estequiometría Ecuación C-1</t>
  </si>
  <si>
    <t xml:space="preserve">Relación entre Nitrógeno Asimilado y Proteína producida </t>
  </si>
  <si>
    <t>30% a 38%</t>
  </si>
  <si>
    <t>Producción de Proteína por Nitrificación</t>
  </si>
  <si>
    <t xml:space="preserve">Remoción de NH4 por Nitrificación Heterótrofa </t>
  </si>
  <si>
    <t>diario</t>
  </si>
  <si>
    <t>Diario</t>
  </si>
  <si>
    <t>Consumo de Proteína Diaria como % del Peso</t>
  </si>
  <si>
    <t>Peso de los Peces y Zooplancton en el Estanque</t>
  </si>
  <si>
    <t xml:space="preserve">5 a 40 gramos </t>
  </si>
  <si>
    <t>Suministro de O2 Requerida por Peces y Zooplancton</t>
  </si>
  <si>
    <t>Total de Suministro de Oxígeno Requerido</t>
  </si>
  <si>
    <t>Profundidad del Estanque</t>
  </si>
  <si>
    <t>Tasa de Transferencia de O2 Total en el Sitio por Boquilla</t>
  </si>
  <si>
    <t>Número de Horas Diarias de Suministro de O2</t>
  </si>
  <si>
    <t>Consumo de O2 por Peces y Zooplancton</t>
  </si>
  <si>
    <t>Producción de Peces y Zooplacton</t>
  </si>
  <si>
    <t>Consumo Anual de Energía por Sistema de Recirculación</t>
  </si>
  <si>
    <t>Cabeza en Boquilla</t>
  </si>
  <si>
    <t>Perdidas en Tuberías  de Bomba Elevadora</t>
  </si>
  <si>
    <t>Potencia de Bomba Elevadora</t>
  </si>
  <si>
    <t>Cabeza de Bombeo de Bomba Elevadora</t>
  </si>
  <si>
    <t>Consumo Anual de Energía por Bomba Elevadora</t>
  </si>
  <si>
    <t>Eficiencia de Bomba Elevadora</t>
  </si>
  <si>
    <t>Consumo de Energía e Indicadores</t>
  </si>
  <si>
    <t>Consumo de Energía Específico (por m3 de agua)</t>
  </si>
  <si>
    <t>Producción Acuícola</t>
  </si>
  <si>
    <t>Manguera Perforada de Succión</t>
  </si>
  <si>
    <t>Perdidas de Cabeza en la Manguera</t>
  </si>
  <si>
    <t xml:space="preserve">cm  </t>
  </si>
  <si>
    <t>Perdidas en Tuberías de Aireación</t>
  </si>
  <si>
    <t>Longitud de Manguera de Succión</t>
  </si>
  <si>
    <t>Area Superficial de Zona Plana</t>
  </si>
  <si>
    <t>Area Superficial de Taludes</t>
  </si>
  <si>
    <t>Talud</t>
  </si>
  <si>
    <t>Escalera para Peces</t>
  </si>
  <si>
    <t>Angulo de Inclinación</t>
  </si>
  <si>
    <t>grados</t>
  </si>
  <si>
    <t>Coeficiente C</t>
  </si>
  <si>
    <t>Exponente n</t>
  </si>
  <si>
    <t>Ha</t>
  </si>
  <si>
    <t>Distancia Horizontal Máxima entre Pantallas</t>
  </si>
  <si>
    <t>Distancia entre Pantallas a lo Largo del Canal</t>
  </si>
  <si>
    <t>Longitud de la Pantalla</t>
  </si>
  <si>
    <t>Ancho del Canal</t>
  </si>
  <si>
    <t>Ancho de Garganta  W</t>
  </si>
  <si>
    <t>No de Pantallas Requeridas</t>
  </si>
  <si>
    <t>Caida del Nivel entre Pantallas</t>
  </si>
  <si>
    <t>D</t>
  </si>
  <si>
    <t>DL</t>
  </si>
  <si>
    <t>dH</t>
  </si>
  <si>
    <t>Velocidad Media en la Garganta</t>
  </si>
  <si>
    <t xml:space="preserve">Longitud del Canal </t>
  </si>
  <si>
    <t>Dmax</t>
  </si>
  <si>
    <t>Lp</t>
  </si>
  <si>
    <t>Borde Libre</t>
  </si>
  <si>
    <t>C/N</t>
  </si>
  <si>
    <t>Relación C/N en al Afluente</t>
  </si>
  <si>
    <t>Yoram Avnimelech (Ref. C-43)</t>
  </si>
  <si>
    <r>
      <t>Introducción de DBO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  <charset val="1"/>
      </rPr>
      <t xml:space="preserve"> en Estanque a partir de Carbono Atmosférico</t>
    </r>
  </si>
  <si>
    <t xml:space="preserve">Productividad de Tallos de Caña </t>
  </si>
  <si>
    <t>Productividad de la Caña en Materia Seca</t>
  </si>
  <si>
    <t>Productividad de Hojas y Cogollos (17%)</t>
  </si>
  <si>
    <t>Area Interior del Tubo de Agua</t>
  </si>
  <si>
    <t>Diámetro Externo del Tubo Transversal  de Aire</t>
  </si>
  <si>
    <t>Area de las Gargantas</t>
  </si>
  <si>
    <t>1/2"</t>
  </si>
  <si>
    <t>No de Boquillas conectadas a Bomba Elevadora</t>
  </si>
  <si>
    <t>Factor de Operación de Bomba Elevadora</t>
  </si>
  <si>
    <t>Suministro de Oxígeno por Bomba Elevadora</t>
  </si>
  <si>
    <t>Suministro de Oxígeno por Recirculación</t>
  </si>
  <si>
    <t>Dimensionamiento del Sistema</t>
  </si>
  <si>
    <t xml:space="preserve">Distancia entre Mangueras de Succión </t>
  </si>
  <si>
    <t>Concentración de OD en el Estanque</t>
  </si>
  <si>
    <t>Ancho Mínimo de Zona Aireada Plana</t>
  </si>
  <si>
    <t>por m</t>
  </si>
  <si>
    <t>Tasa de Flujo de Oxígeno Total en Condiciones Standard</t>
  </si>
  <si>
    <r>
      <t>Cs</t>
    </r>
    <r>
      <rPr>
        <vertAlign val="subscript"/>
        <sz val="11"/>
        <rFont val="Arial"/>
        <family val="2"/>
      </rPr>
      <t xml:space="preserve">T </t>
    </r>
  </si>
  <si>
    <r>
      <t>Cs</t>
    </r>
    <r>
      <rPr>
        <vertAlign val="subscript"/>
        <sz val="11"/>
        <rFont val="Arial"/>
        <family val="2"/>
      </rPr>
      <t xml:space="preserve">TA </t>
    </r>
  </si>
  <si>
    <t>Factor de Utilización de la Aireación durante el Día</t>
  </si>
  <si>
    <t xml:space="preserve">Factor de Utilización de la Aireación </t>
  </si>
  <si>
    <t>ESCALERA PARA PECES</t>
  </si>
  <si>
    <t>Ancho de Garganta</t>
  </si>
  <si>
    <t>Fuente:</t>
  </si>
  <si>
    <t>Distancia entre la Manguera de Succión y el Muro de Salida</t>
  </si>
  <si>
    <t>Distancia entre la Manguera de Succión y el Muro de Entrada</t>
  </si>
  <si>
    <t>Longitud Tramo Transversal de Mangueras</t>
  </si>
  <si>
    <t>Area Superficial  Total del Estanque</t>
  </si>
  <si>
    <t>Caudal Inicial</t>
  </si>
  <si>
    <t>Tubería de Distribución</t>
  </si>
  <si>
    <t>TUBERIA DE AIREACIÓN</t>
  </si>
  <si>
    <t>Perdidas Totales:</t>
  </si>
  <si>
    <t>Codo  radio corto</t>
  </si>
  <si>
    <t>Pérdidas hf</t>
  </si>
  <si>
    <t>Caudal Q</t>
  </si>
  <si>
    <t>Diámetro D</t>
  </si>
  <si>
    <t>Requerida para Proceso EBPR</t>
  </si>
  <si>
    <t>Información del Fabricante</t>
  </si>
  <si>
    <t xml:space="preserve">Parámetros  tomados de la Literatura Científica o Técnica </t>
  </si>
  <si>
    <t>Resultados Finales e Indicadores de Desempeño</t>
  </si>
  <si>
    <t>Otros Cálculos</t>
  </si>
  <si>
    <t>Variable de Ajuste</t>
  </si>
  <si>
    <t>Velocidad  de Flujo en la Garganta</t>
  </si>
  <si>
    <t>Caudal Total de Reciculación</t>
  </si>
  <si>
    <t xml:space="preserve">Tasa de Transferencia de Oxígeno suministrada </t>
  </si>
  <si>
    <t xml:space="preserve">Tasa de Transferencia de O2 Total en el Sitio  </t>
  </si>
  <si>
    <t xml:space="preserve">Transferencia de O2 en Condiciones Estándar     </t>
  </si>
  <si>
    <t xml:space="preserve">Eficiencia en Transferencia de O2 en Condiciones Estándar  </t>
  </si>
  <si>
    <t xml:space="preserve">Caudal de Aire a la Presión de Nivel del Mar </t>
  </si>
  <si>
    <t>Altura de la Garganta</t>
  </si>
  <si>
    <t>Lado Interior de la Boquilla</t>
  </si>
  <si>
    <t>∅ ¨1/4" tipo K</t>
  </si>
  <si>
    <t>H</t>
  </si>
  <si>
    <t>Longitud de la Línea</t>
  </si>
  <si>
    <t>Relación entre Caudal de Aire y de Agua</t>
  </si>
  <si>
    <t>Qa/Qw</t>
  </si>
  <si>
    <t xml:space="preserve">Qa  </t>
  </si>
  <si>
    <t>Qw</t>
  </si>
  <si>
    <t>Consumo Anual de Energía por Sopladores</t>
  </si>
  <si>
    <t xml:space="preserve">Potencia Total del Soplador </t>
  </si>
  <si>
    <t>Perdidas en Distribución</t>
  </si>
  <si>
    <t>Profundidad de las Boquillas a 45°</t>
  </si>
  <si>
    <t>Penetración Adicional del Chorrro</t>
  </si>
  <si>
    <t>Ecuación A-3</t>
  </si>
  <si>
    <t>Ecuación A-2</t>
  </si>
  <si>
    <t>Planos de Diseño</t>
  </si>
  <si>
    <t>Calculo del Soplador</t>
  </si>
  <si>
    <t>Potencia de Bombeo Total</t>
  </si>
  <si>
    <t>Hoja "Planta Pincta"</t>
  </si>
  <si>
    <t>PLANTA PINCTA</t>
  </si>
  <si>
    <t>Hoja "Tuberias de Aireación "</t>
  </si>
  <si>
    <t>Hoja "Agua-T(°C)</t>
  </si>
  <si>
    <t xml:space="preserve">Tasa de Transferencia de O2  en el Sitio por Boquillas </t>
  </si>
  <si>
    <t>Ecuación A-4</t>
  </si>
  <si>
    <t>Jairo Alberto Romero. Ref. C-73</t>
  </si>
  <si>
    <t>No de  Boquillas por Línea calculada</t>
  </si>
  <si>
    <t>Longitud del Tramo Inicial</t>
  </si>
  <si>
    <t>Hoja Planta Pincta"</t>
  </si>
  <si>
    <t>Hoja "Parrilla de Aireación "</t>
  </si>
  <si>
    <t>Longitud de la Línea de Aireación</t>
  </si>
  <si>
    <t>Hoja "Tuberias de Aireación"</t>
  </si>
  <si>
    <t>Ecuación F-11</t>
  </si>
  <si>
    <t>Tabla B. 6,30, RAS</t>
  </si>
  <si>
    <t>TUBERIA DE SUCCIÓN</t>
  </si>
  <si>
    <t>Tubería de Succión</t>
  </si>
  <si>
    <t>Te con salida lateral</t>
  </si>
  <si>
    <t>Hoja "Tubería de Succión "</t>
  </si>
  <si>
    <t>Perdidas en Tubería de Succión</t>
  </si>
  <si>
    <t>Hoja "Parrilla de Aireación"</t>
  </si>
  <si>
    <t>Tabla B-16</t>
  </si>
  <si>
    <t xml:space="preserve">Capacidad del Picapastos       </t>
  </si>
  <si>
    <t>kg/h</t>
  </si>
  <si>
    <t>horas/día</t>
  </si>
  <si>
    <t>Potencia de Picapastos</t>
  </si>
  <si>
    <t>Consumo de Energía por Picapastos</t>
  </si>
  <si>
    <t>kW-h/año</t>
  </si>
  <si>
    <t>Tiempo para Procesar Caña por Día</t>
  </si>
  <si>
    <t>Porcentaje de Oxígeno al Nivel del Mar</t>
  </si>
  <si>
    <t xml:space="preserve">Transferencia de O2 en Condiciones Estándar  por Boquillas   </t>
  </si>
  <si>
    <t xml:space="preserve">Transferencia de O2 en Condiciones Estándar  por Burbujas   </t>
  </si>
  <si>
    <t>kw</t>
  </si>
  <si>
    <t>kW</t>
  </si>
  <si>
    <t>Potencia Neta Aplicada por Boquillas</t>
  </si>
  <si>
    <t>Potencia Neta Aplicada por Soplador</t>
  </si>
  <si>
    <t>Aguas Residuales Domésticas o Municipales</t>
  </si>
  <si>
    <t>Componente de Aireación por Boquillas de Tubo Transversal</t>
  </si>
  <si>
    <t>Componente de Aireación por Burbujas</t>
  </si>
  <si>
    <t>AIREACION POR BOQUILLAS DE TUBO TRANSVERFSAL PRESURIZADA</t>
  </si>
  <si>
    <t>Datos de Entrada</t>
  </si>
  <si>
    <t>40 a 70 Ton /año</t>
  </si>
  <si>
    <t xml:space="preserve">Profundidad de Aireación  con Boquillas </t>
  </si>
  <si>
    <t>Caudal de Aire de Compresores a la Profundidad</t>
  </si>
  <si>
    <t>Eficiencia de Transferencia de O2 por m de Profundidad</t>
  </si>
  <si>
    <t xml:space="preserve">Eficiencia de Transferencia de O2 </t>
  </si>
  <si>
    <t>Potencia Neta Total del Sistema de Aireación</t>
  </si>
  <si>
    <t>Aplicar Función Objetivo con valor de AOTR</t>
  </si>
  <si>
    <t>Calcular con Función Objetivo</t>
  </si>
  <si>
    <t>AOTR</t>
  </si>
  <si>
    <t>Cl</t>
  </si>
  <si>
    <t>FAO. “Nutrición y Alimentación de los Peces”. (Ref. B-22)</t>
  </si>
  <si>
    <t>Consumo Diario de Concentrado para Peces como % del Peso</t>
  </si>
  <si>
    <t>Porcentaje de Proteína en Concentrado para Peces</t>
  </si>
  <si>
    <t>Tabla A-7 del Capítulo A-5.</t>
  </si>
  <si>
    <t>Chunsheng Lei et al,  (Ref. A-20)</t>
  </si>
  <si>
    <t xml:space="preserve">Ecuación A-18 de M.R. Ghomi (Ref. A-19) </t>
  </si>
  <si>
    <t>Mazzei Aeration (Ref. A-16)</t>
  </si>
  <si>
    <t>Harlan Bengtson. (Ref. F-54).</t>
  </si>
  <si>
    <t>N.sg/m2</t>
  </si>
  <si>
    <t>Abbas Mehrabadi et al (Ref. C-70)</t>
  </si>
  <si>
    <t>Biology Ease. (Ref. C-69)</t>
  </si>
  <si>
    <t>Metcalf &amp; Eddy. (Ref. C-43) para ARD</t>
  </si>
  <si>
    <t>Figura C-42. Zoe V.Finkel. Ref. C-68</t>
  </si>
  <si>
    <t xml:space="preserve">Ecuación A-19 de M.R. Ghomi (Ref. A-19) </t>
  </si>
  <si>
    <t xml:space="preserve">Ecuación A-20 de M.R. Ghomi (Ref. A-19) </t>
  </si>
  <si>
    <t xml:space="preserve">Información de Entrada </t>
  </si>
  <si>
    <t>Información de Salida</t>
  </si>
  <si>
    <t>Calculo Alterno</t>
  </si>
  <si>
    <t>Diferencia</t>
  </si>
  <si>
    <t>INTRUCCIONES SOBRE EL CÁLCULO ALTERNO</t>
  </si>
  <si>
    <t xml:space="preserve">Para revertir esta operación, se coloca en la casilla  del parámetro modificado el valor correspondiente </t>
  </si>
  <si>
    <t>En el cálculo alterno es necesario aplicar la Función Objetivo en los parámetros indicados.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</si>
  <si>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</si>
  <si>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</si>
  <si>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</si>
  <si>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</si>
  <si>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 xml:space="preserve">Pérdidas </t>
  </si>
  <si>
    <t xml:space="preserve">Perdidas </t>
  </si>
  <si>
    <t>Hoja "Tuberías de Aireación "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</si>
  <si>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</si>
  <si>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</si>
  <si>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</si>
  <si>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</si>
  <si>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</si>
  <si>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</si>
  <si>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</si>
  <si>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</si>
  <si>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</si>
  <si>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</si>
  <si>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</si>
  <si>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</si>
  <si>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</si>
  <si>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>- Se realiza la gráfica a partir de las columnas de la abcisa y de las ordenadas.</t>
  </si>
  <si>
    <t>No de  Boquillas por Línea Requerida</t>
  </si>
  <si>
    <t>Calculado</t>
  </si>
  <si>
    <t>Asumido</t>
  </si>
  <si>
    <t>No Total de Boquillas calculada</t>
  </si>
  <si>
    <t>No Total de Boquillas asumida</t>
  </si>
  <si>
    <t xml:space="preserve">Longitud de las Líneas </t>
  </si>
  <si>
    <t>Fco</t>
  </si>
  <si>
    <t>Ecuación A-8</t>
  </si>
  <si>
    <t>Consumo de Oxígeno Requerida para Nitrificación           CO</t>
  </si>
  <si>
    <t>Notas</t>
  </si>
  <si>
    <t>a la columna E, y luego se quita el color distintivo.</t>
  </si>
  <si>
    <t>Es importante verificar el cumplimento de las condiciones indIcadas en la columna D</t>
  </si>
  <si>
    <t>TUBERIA DE SOPLADOR</t>
  </si>
  <si>
    <t>Temperatura del Agua</t>
  </si>
  <si>
    <t>Viscosidad Cinemática</t>
  </si>
  <si>
    <t>No de Reynolds</t>
  </si>
  <si>
    <t>Hoja "Diagrama de Moody"</t>
  </si>
  <si>
    <t xml:space="preserve">Factor de Fricción </t>
  </si>
  <si>
    <t>f</t>
  </si>
  <si>
    <t>Densidad del Aire en el Sitio</t>
  </si>
  <si>
    <t>Metcalf &amp; Eddy. (Ref. C-43) Ecuación 5-57</t>
  </si>
  <si>
    <t>C</t>
  </si>
  <si>
    <t>Longitud  del Tramo</t>
  </si>
  <si>
    <t>Velocidad</t>
  </si>
  <si>
    <t>Cabeza de Velocidad hv</t>
  </si>
  <si>
    <t>DIAGRAMA DE MOODY</t>
  </si>
  <si>
    <t>Hoja "Tubería de Soplador "</t>
  </si>
  <si>
    <t>Perdidas de Cabeza en la Tubería de Aire Presurizado</t>
  </si>
  <si>
    <t>Metcalf &amp; Eddy. (Ref. C-43) Tabla 5-29</t>
  </si>
  <si>
    <r>
      <t>Relación</t>
    </r>
    <r>
      <rPr>
        <b/>
        <sz val="11"/>
        <rFont val="Arial"/>
        <family val="2"/>
        <charset val="1"/>
      </rPr>
      <t xml:space="preserve"> </t>
    </r>
    <r>
      <rPr>
        <b/>
        <sz val="11"/>
        <rFont val="GreekC"/>
      </rPr>
      <t>e</t>
    </r>
    <r>
      <rPr>
        <sz val="11"/>
        <rFont val="Arial"/>
        <family val="2"/>
        <charset val="1"/>
      </rPr>
      <t>/D para Tubería Lisa</t>
    </r>
  </si>
  <si>
    <t>Presión del Aire en Tubería del Soplador</t>
  </si>
  <si>
    <t>Caudal de Aire Descomprimido en el Sitio</t>
  </si>
  <si>
    <t>L</t>
  </si>
  <si>
    <t>Re</t>
  </si>
  <si>
    <t>Ramales</t>
  </si>
  <si>
    <t>Tubería de Descarga de Soplador</t>
  </si>
  <si>
    <t>Densidad del Aire Comprimido</t>
  </si>
  <si>
    <t>Manual de Pavco</t>
  </si>
  <si>
    <t>Proporción del Carbono Suministrado por Atmósfera y Peces</t>
  </si>
  <si>
    <t>Variable a Investigar</t>
  </si>
  <si>
    <t>Lapso de Operación Contínua de Biorreactores</t>
  </si>
  <si>
    <t>Lapso de Operación Intermitente de Biorreactores</t>
  </si>
  <si>
    <t>Figura C-38. H. Jupsin et al (Ref. C-66).</t>
  </si>
  <si>
    <t>6 p.m. a 5 a.m.</t>
  </si>
  <si>
    <t xml:space="preserve"> 5 min cada 1/2 hora</t>
  </si>
  <si>
    <t>Remoción de Nutrientes por las Microalgas</t>
  </si>
  <si>
    <t>Tasa de Producción  de Microalgas</t>
  </si>
  <si>
    <t xml:space="preserve">Producción Anual de Microalgas </t>
  </si>
  <si>
    <t>Carga diaria de Nitrógeno Removida en Estanque por Microalgas</t>
  </si>
  <si>
    <t>Relación de Consumos C/N en las Microalgas</t>
  </si>
  <si>
    <t>Requerimiento Total de Carbono por las Microalgas</t>
  </si>
  <si>
    <t>Cantidad Diaria de Carbono consumido por  Nitrificación y Microalgas</t>
  </si>
  <si>
    <t xml:space="preserve">Producción de Biomasa Seca por Microalgas </t>
  </si>
  <si>
    <t xml:space="preserve">Contenido de Proteína en las Microalgas </t>
  </si>
  <si>
    <t xml:space="preserve">Producción de Proteína en las Microalgas </t>
  </si>
  <si>
    <t xml:space="preserve">Contenido de Nitrógeno de las Microalgas </t>
  </si>
  <si>
    <t>Tasa de Asimilación de Carbono Atmosférico por las Microalgas</t>
  </si>
  <si>
    <t>Metcalf &amp; Eddy. (Ref. C-2) para ARD</t>
  </si>
  <si>
    <t xml:space="preserve">Ecuación A-24. Metcalf &amp; Eddy. (Ref. C-2) </t>
  </si>
  <si>
    <t>Tabla C-9. Radhakrishnan S.et al (Ref. C-71)</t>
  </si>
  <si>
    <t>Ecuación B-6  de Valbuena-Villarreal (Ref. B-51)</t>
  </si>
  <si>
    <t>Remoción de Nitrógeno en Estanque por Microalgas</t>
  </si>
  <si>
    <t>Operación en Condiciones de Operación Normales</t>
  </si>
  <si>
    <t>Pendiente del Canal                                       S</t>
  </si>
  <si>
    <t>Máximo 30%</t>
  </si>
  <si>
    <t>W = 3", 6", 9", 12",18" o 24"</t>
  </si>
  <si>
    <t>Distancia Horizontal entre Pantallas Asumida&lt; Dmax</t>
  </si>
  <si>
    <t>Ancho de la Pantalla             Bp</t>
  </si>
  <si>
    <r>
      <t>Ha</t>
    </r>
    <r>
      <rPr>
        <sz val="8"/>
        <color rgb="FF000000"/>
        <rFont val="Arial"/>
        <family val="2"/>
      </rPr>
      <t>max</t>
    </r>
  </si>
  <si>
    <t>Ecuación F-19. Harlan Bengtson (Ref. F-54)</t>
  </si>
  <si>
    <t>Ancho de la Pantalla (Diametaro de Zona Curva)</t>
  </si>
  <si>
    <t>Ap</t>
  </si>
  <si>
    <t>Longitud de la Zona Curva</t>
  </si>
  <si>
    <t>Longitud de Lámina</t>
  </si>
  <si>
    <t>Distancia entre Pantallas en Garganta             Dp</t>
  </si>
  <si>
    <t>Diferencia de Niveles en la Escalera</t>
  </si>
  <si>
    <t>Operación con Caudal Máximo</t>
  </si>
  <si>
    <t>Q</t>
  </si>
  <si>
    <t>Altura del Flujo sobre la Pantalla</t>
  </si>
  <si>
    <t>Hr</t>
  </si>
  <si>
    <t>Coeficiente de Descarga en Vertederos de Cresta Aguda</t>
  </si>
  <si>
    <t>Cd</t>
  </si>
  <si>
    <t>Caudal de Rebose sobre Pantalla</t>
  </si>
  <si>
    <t>Caudal Máximo en la Escalera</t>
  </si>
  <si>
    <t>Caudal Máximo en la Garganta</t>
  </si>
  <si>
    <t>Altura Máxima del Flujo sobre la Pantalla</t>
  </si>
  <si>
    <t>Profundidad de la Garganta</t>
  </si>
  <si>
    <t>Profundidad Mínima en la Garganta</t>
  </si>
  <si>
    <t>Caudal Mínimo</t>
  </si>
  <si>
    <t>Dato de Diseño</t>
  </si>
  <si>
    <t>Hoja "Datos Escalera"</t>
  </si>
  <si>
    <t>no aplica</t>
  </si>
  <si>
    <t>Manual FAO -Corpoica (Ref. C-83)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</si>
</sst>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 * #,##0.00_ ;_ * \-#,##0.00_ ;_ * \-??_ ;_ @_ "/>
    <numFmt numFmtId="165" formatCode="\$#,##0\ ;&quot;($&quot;#,##0\)"/>
    <numFmt numFmtId="166" formatCode="_ [$€-2]\ * #,##0.00_ ;_ [$€-2]\ * \-#,##0.00_ ;_ [$€-2]\ * \-??_ "/>
    <numFmt numFmtId="167" formatCode="&quot;K &quot;00\+000"/>
    <numFmt numFmtId="168" formatCode="_(\$* #,##0_);_(\$* \(#,##0\);_(\$* \-??_);_(@_)"/>
    <numFmt numFmtId="169" formatCode="_-* #,##0.00\ _€_-;\-* #,##0.00\ _€_-;_-* \-??\ _€_-;_-@_-"/>
    <numFmt numFmtId="170" formatCode="_(* #,##0.00_);_(* \(#,##0.00\);_(* \-??_);_(@_)"/>
    <numFmt numFmtId="171" formatCode="_ * #,##0.0000000000_ ;_ * \-#,##0.0000000000_ ;_ * \-??_ ;_ @_ "/>
    <numFmt numFmtId="172" formatCode="_-\$* #,##0.00_-;&quot;-$&quot;* #,##0.00_-;_-\$* \-??_-;_-@_-"/>
    <numFmt numFmtId="173" formatCode="&quot;$ &quot;#,##0_);&quot;($ &quot;#,##0\)"/>
    <numFmt numFmtId="174" formatCode="&quot;$ &quot;#,##0;&quot;$ -&quot;#,##0"/>
    <numFmt numFmtId="175" formatCode="_ &quot;$ &quot;* #,##0.00_ ;_ &quot;$ &quot;* \-#,##0.00_ ;_ &quot;$ &quot;* \-??_ ;_ @_ "/>
    <numFmt numFmtId="176" formatCode="[$$-240A]\ #,##0.00"/>
    <numFmt numFmtId="177" formatCode="_(&quot;$ &quot;* #,##0.00_);_(&quot;$ &quot;* \(#,##0.00\);_(&quot;$ &quot;* \-??_);_(@_)"/>
    <numFmt numFmtId="178" formatCode="_(\$* #,##0.00_);_(\$* \(#,##0.00\);_(\$* \-??_);_(@_)"/>
    <numFmt numFmtId="179" formatCode="_(\$* #,##0_);_(\$* \(#,##0\);_(\$* \-_);_(@_)"/>
    <numFmt numFmtId="180" formatCode="0.000"/>
    <numFmt numFmtId="181" formatCode="_-* #,##0_-;\-* #,##0_-;_-* \-_-;_-@_-"/>
    <numFmt numFmtId="182" formatCode="0.0%"/>
    <numFmt numFmtId="183" formatCode="0.0"/>
    <numFmt numFmtId="184" formatCode="_-&quot;$ &quot;* #,##0_-;&quot;-$ &quot;* #,##0_-;_-&quot;$ &quot;* \-_-;_-@_-"/>
    <numFmt numFmtId="185" formatCode="_ * #,##0.00_ ;_ * \-#,##0.00_ ;_ * &quot;-&quot;??_ ;_ @_ "/>
    <numFmt numFmtId="186" formatCode="_(* #,##0.00_);_(* \(#,##0.00\);_(* &quot;-&quot;??_);_(@_)"/>
    <numFmt numFmtId="187" formatCode="0.000000"/>
    <numFmt numFmtId="188" formatCode="#,##0.0"/>
    <numFmt numFmtId="189" formatCode="_-* #,##0.0_-;\-* #,##0.0_-;_-* &quot;-&quot;_-;_-@_-"/>
  </numFmts>
  <fonts count="52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8"/>
      <name val="Arial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vertAlign val="subscript"/>
      <sz val="11"/>
      <name val="Arial"/>
      <family val="2"/>
    </font>
    <font>
      <vertAlign val="sub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GreekC"/>
    </font>
    <font>
      <b/>
      <sz val="12"/>
      <name val="Arial"/>
      <family val="2"/>
    </font>
    <font>
      <sz val="11"/>
      <color theme="1"/>
      <name val="Arial"/>
      <family val="2"/>
      <charset val="1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</font>
    <font>
      <b/>
      <sz val="11"/>
      <name val="GreekC"/>
    </font>
    <font>
      <b/>
      <sz val="16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CCCCFF"/>
        <bgColor rgb="FFDAE3F3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99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D2F9FE"/>
      </patternFill>
    </fill>
    <fill>
      <patternFill patternType="solid">
        <fgColor rgb="FFFFCC99"/>
        <bgColor rgb="FFDDD9C3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4A80AE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800000"/>
      </patternFill>
    </fill>
    <fill>
      <patternFill patternType="solid">
        <fgColor rgb="FF339966"/>
        <bgColor rgb="FF2C9243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EBFED2"/>
      </patternFill>
    </fill>
    <fill>
      <patternFill patternType="solid">
        <fgColor rgb="FFCCFF99"/>
        <bgColor rgb="FFCCFFCC"/>
      </patternFill>
    </fill>
    <fill>
      <patternFill patternType="solid">
        <fgColor rgb="FFFDEADA"/>
        <bgColor rgb="FFFBE5D6"/>
      </patternFill>
    </fill>
    <fill>
      <patternFill patternType="solid">
        <fgColor rgb="FFD2F9FE"/>
        <bgColor rgb="FFCC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5" tint="0.79998168889431442"/>
        <bgColor rgb="FFEBFED2"/>
      </patternFill>
    </fill>
    <fill>
      <patternFill patternType="solid">
        <fgColor rgb="FFCCFF99"/>
        <bgColor rgb="FFEBFED2"/>
      </patternFill>
    </fill>
    <fill>
      <patternFill patternType="solid">
        <fgColor rgb="FFFFFFCC"/>
        <bgColor rgb="FFDCE6F2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DEEBF7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EF8F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BFED2"/>
      </patternFill>
    </fill>
    <fill>
      <patternFill patternType="solid">
        <fgColor rgb="FFFFF2CC"/>
        <bgColor rgb="FFCCFFFF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5" tint="0.79998168889431442"/>
        <bgColor rgb="FFEEECE1"/>
      </patternFill>
    </fill>
    <fill>
      <patternFill patternType="solid">
        <fgColor theme="5" tint="0.79998168889431442"/>
        <bgColor rgb="FFCCFFCC"/>
      </patternFill>
    </fill>
    <fill>
      <patternFill patternType="solid">
        <fgColor theme="8" tint="0.79998168889431442"/>
        <bgColor rgb="FFCCFFFF"/>
      </patternFill>
    </fill>
    <fill>
      <patternFill patternType="solid">
        <fgColor rgb="FFD2FAFE"/>
        <bgColor indexed="64"/>
      </patternFill>
    </fill>
    <fill>
      <patternFill patternType="solid">
        <fgColor theme="5" tint="0.79998168889431442"/>
        <bgColor rgb="FFDCE6F2"/>
      </patternFill>
    </fill>
    <fill>
      <patternFill patternType="solid">
        <fgColor rgb="FFD2FAFE"/>
        <bgColor rgb="FFEBFED2"/>
      </patternFill>
    </fill>
    <fill>
      <patternFill patternType="solid">
        <fgColor theme="8" tint="0.79998168889431442"/>
        <bgColor rgb="FFEEECE1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FF2CC"/>
        <bgColor rgb="FFFBE5D6"/>
      </patternFill>
    </fill>
    <fill>
      <patternFill patternType="solid">
        <fgColor theme="7" tint="0.79998168889431442"/>
        <bgColor rgb="FFEBF1DE"/>
      </patternFill>
    </fill>
    <fill>
      <patternFill patternType="solid">
        <fgColor theme="7" tint="0.79998168889431442"/>
        <bgColor rgb="FFEBFED2"/>
      </patternFill>
    </fill>
    <fill>
      <patternFill patternType="solid">
        <fgColor theme="0"/>
        <bgColor rgb="FFFBE5D6"/>
      </patternFill>
    </fill>
    <fill>
      <patternFill patternType="solid">
        <fgColor theme="5" tint="0.79998168889431442"/>
        <bgColor rgb="FFCCFFFF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50">
    <xf numFmtId="0" fontId="0" fillId="0" borderId="0"/>
    <xf numFmtId="9" fontId="24" fillId="0" borderId="0" applyBorder="0" applyProtection="0"/>
    <xf numFmtId="0" fontId="23" fillId="0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7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5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24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2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5" fillId="21" borderId="2" applyProtection="0"/>
    <xf numFmtId="4" fontId="6" fillId="0" borderId="0"/>
    <xf numFmtId="164" fontId="24" fillId="0" borderId="0" applyBorder="0" applyProtection="0"/>
    <xf numFmtId="3" fontId="24" fillId="0" borderId="0" applyBorder="0" applyProtection="0"/>
    <xf numFmtId="165" fontId="24" fillId="0" borderId="0" applyBorder="0" applyProtection="0"/>
    <xf numFmtId="0" fontId="24" fillId="0" borderId="0" applyBorder="0" applyProtection="0"/>
    <xf numFmtId="0" fontId="2" fillId="0" borderId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0" fontId="7" fillId="0" borderId="0" applyBorder="0" applyProtection="0"/>
    <xf numFmtId="2" fontId="24" fillId="0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8" fillId="4" borderId="0" applyBorder="0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9" fillId="0" borderId="3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0" fillId="0" borderId="4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5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3" fillId="7" borderId="1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0" fontId="14" fillId="0" borderId="6" applyProtection="0"/>
    <xf numFmtId="167" fontId="24" fillId="0" borderId="0" applyBorder="0" applyProtection="0"/>
    <xf numFmtId="167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0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71" fontId="24" fillId="0" borderId="0" applyBorder="0" applyProtection="0"/>
    <xf numFmtId="171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2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70" fontId="24" fillId="0" borderId="0" applyBorder="0" applyProtection="0"/>
    <xf numFmtId="164" fontId="24" fillId="0" borderId="0" applyBorder="0" applyProtection="0"/>
    <xf numFmtId="172" fontId="24" fillId="0" borderId="0" applyBorder="0" applyProtection="0"/>
    <xf numFmtId="173" fontId="24" fillId="0" borderId="0" applyBorder="0" applyProtection="0"/>
    <xf numFmtId="164" fontId="24" fillId="0" borderId="0" applyBorder="0" applyProtection="0"/>
    <xf numFmtId="174" fontId="24" fillId="0" borderId="0" applyBorder="0" applyProtection="0"/>
    <xf numFmtId="174" fontId="24" fillId="0" borderId="0" applyBorder="0" applyProtection="0"/>
    <xf numFmtId="175" fontId="24" fillId="0" borderId="0" applyBorder="0" applyProtection="0"/>
    <xf numFmtId="176" fontId="24" fillId="0" borderId="0" applyBorder="0" applyProtection="0"/>
    <xf numFmtId="177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8" fontId="24" fillId="0" borderId="0" applyBorder="0" applyProtection="0"/>
    <xf numFmtId="177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5" fontId="24" fillId="0" borderId="0" applyBorder="0" applyProtection="0"/>
    <xf numFmtId="177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179" fontId="24" fillId="0" borderId="0" applyBorder="0" applyProtection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24" fillId="22" borderId="7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0" fontId="15" fillId="20" borderId="8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181" fontId="24" fillId="0" borderId="0" applyBorder="0" applyProtection="0"/>
    <xf numFmtId="181" fontId="24" fillId="0" borderId="0" applyBorder="0" applyProtection="0"/>
    <xf numFmtId="184" fontId="24" fillId="0" borderId="0" applyBorder="0" applyProtection="0"/>
    <xf numFmtId="43" fontId="24" fillId="0" borderId="0" applyFont="0" applyFill="0" applyBorder="0" applyAlignment="0" applyProtection="0"/>
  </cellStyleXfs>
  <cellXfs count="74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 indent="1"/>
    </xf>
    <xf numFmtId="0" fontId="19" fillId="0" borderId="0" xfId="0" applyFont="1" applyAlignment="1">
      <alignment horizontal="center"/>
    </xf>
    <xf numFmtId="0" fontId="20" fillId="23" borderId="9" xfId="0" applyFont="1" applyFill="1" applyBorder="1"/>
    <xf numFmtId="0" fontId="20" fillId="0" borderId="0" xfId="0" applyFont="1"/>
    <xf numFmtId="0" fontId="20" fillId="24" borderId="11" xfId="0" applyFont="1" applyFill="1" applyBorder="1"/>
    <xf numFmtId="0" fontId="20" fillId="25" borderId="9" xfId="0" applyFont="1" applyFill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18" fillId="25" borderId="9" xfId="0" applyFont="1" applyFill="1" applyBorder="1"/>
    <xf numFmtId="0" fontId="18" fillId="25" borderId="11" xfId="0" applyFont="1" applyFill="1" applyBorder="1"/>
    <xf numFmtId="0" fontId="18" fillId="0" borderId="10" xfId="0" applyFont="1" applyBorder="1"/>
    <xf numFmtId="0" fontId="20" fillId="0" borderId="9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11" xfId="0" applyFont="1" applyBorder="1"/>
    <xf numFmtId="0" fontId="18" fillId="0" borderId="0" xfId="0" applyFont="1" applyAlignment="1">
      <alignment horizontal="center"/>
    </xf>
    <xf numFmtId="0" fontId="21" fillId="0" borderId="0" xfId="0" applyFont="1"/>
    <xf numFmtId="0" fontId="19" fillId="0" borderId="0" xfId="0" applyFont="1"/>
    <xf numFmtId="2" fontId="18" fillId="25" borderId="10" xfId="0" applyNumberFormat="1" applyFont="1" applyFill="1" applyBorder="1" applyAlignment="1">
      <alignment horizontal="right" indent="1"/>
    </xf>
    <xf numFmtId="0" fontId="21" fillId="0" borderId="10" xfId="0" applyFont="1" applyBorder="1" applyAlignment="1">
      <alignment horizontal="left"/>
    </xf>
    <xf numFmtId="164" fontId="20" fillId="0" borderId="10" xfId="0" applyNumberFormat="1" applyFont="1" applyBorder="1" applyAlignment="1">
      <alignment horizontal="right" indent="1"/>
    </xf>
    <xf numFmtId="0" fontId="18" fillId="0" borderId="10" xfId="0" applyFont="1" applyBorder="1" applyAlignment="1">
      <alignment horizontal="center"/>
    </xf>
    <xf numFmtId="164" fontId="18" fillId="0" borderId="10" xfId="0" applyNumberFormat="1" applyFont="1" applyBorder="1"/>
    <xf numFmtId="0" fontId="18" fillId="23" borderId="11" xfId="0" applyFont="1" applyFill="1" applyBorder="1" applyAlignment="1">
      <alignment vertical="center"/>
    </xf>
    <xf numFmtId="0" fontId="18" fillId="24" borderId="10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164" fontId="18" fillId="0" borderId="10" xfId="0" applyNumberFormat="1" applyFont="1" applyBorder="1" applyAlignment="1">
      <alignment horizontal="right" indent="1"/>
    </xf>
    <xf numFmtId="0" fontId="21" fillId="0" borderId="16" xfId="0" applyFont="1" applyBorder="1" applyAlignment="1">
      <alignment horizontal="left"/>
    </xf>
    <xf numFmtId="0" fontId="2" fillId="0" borderId="0" xfId="0" applyFont="1"/>
    <xf numFmtId="43" fontId="18" fillId="24" borderId="10" xfId="1349" applyFont="1" applyFill="1" applyBorder="1" applyAlignment="1">
      <alignment horizontal="center"/>
    </xf>
    <xf numFmtId="0" fontId="18" fillId="28" borderId="11" xfId="0" applyFont="1" applyFill="1" applyBorder="1"/>
    <xf numFmtId="0" fontId="20" fillId="27" borderId="9" xfId="0" applyFont="1" applyFill="1" applyBorder="1"/>
    <xf numFmtId="0" fontId="18" fillId="27" borderId="10" xfId="0" applyFont="1" applyFill="1" applyBorder="1" applyAlignment="1">
      <alignment horizontal="center"/>
    </xf>
    <xf numFmtId="0" fontId="18" fillId="27" borderId="11" xfId="0" applyFont="1" applyFill="1" applyBorder="1"/>
    <xf numFmtId="0" fontId="20" fillId="0" borderId="16" xfId="0" applyFont="1" applyBorder="1" applyAlignment="1">
      <alignment horizontal="left"/>
    </xf>
    <xf numFmtId="164" fontId="18" fillId="0" borderId="16" xfId="0" applyNumberFormat="1" applyFont="1" applyBorder="1"/>
    <xf numFmtId="0" fontId="18" fillId="26" borderId="11" xfId="0" applyFont="1" applyFill="1" applyBorder="1"/>
    <xf numFmtId="10" fontId="26" fillId="26" borderId="10" xfId="1" applyNumberFormat="1" applyFont="1" applyFill="1" applyBorder="1" applyAlignment="1">
      <alignment horizontal="center"/>
    </xf>
    <xf numFmtId="3" fontId="18" fillId="0" borderId="10" xfId="0" applyNumberFormat="1" applyFont="1" applyBorder="1" applyAlignment="1">
      <alignment horizontal="right" vertical="center" indent="1"/>
    </xf>
    <xf numFmtId="43" fontId="20" fillId="24" borderId="10" xfId="1349" applyFont="1" applyFill="1" applyBorder="1" applyAlignment="1">
      <alignment horizontal="right" vertical="center" indent="1"/>
    </xf>
    <xf numFmtId="3" fontId="18" fillId="0" borderId="16" xfId="0" applyNumberFormat="1" applyFont="1" applyBorder="1" applyAlignment="1">
      <alignment horizontal="right" vertical="center" indent="1"/>
    </xf>
    <xf numFmtId="2" fontId="20" fillId="28" borderId="10" xfId="0" applyNumberFormat="1" applyFont="1" applyFill="1" applyBorder="1" applyAlignment="1">
      <alignment horizontal="right" vertical="center" indent="1"/>
    </xf>
    <xf numFmtId="0" fontId="28" fillId="0" borderId="0" xfId="0" applyFont="1"/>
    <xf numFmtId="0" fontId="27" fillId="0" borderId="0" xfId="0" applyFont="1"/>
    <xf numFmtId="0" fontId="29" fillId="0" borderId="0" xfId="0" applyFont="1" applyAlignment="1">
      <alignment horizontal="center"/>
    </xf>
    <xf numFmtId="9" fontId="31" fillId="0" borderId="0" xfId="1" applyFont="1" applyAlignment="1">
      <alignment horizontal="right"/>
    </xf>
    <xf numFmtId="0" fontId="31" fillId="0" borderId="0" xfId="0" applyFont="1"/>
    <xf numFmtId="0" fontId="28" fillId="0" borderId="0" xfId="0" applyFont="1" applyAlignment="1">
      <alignment horizontal="left"/>
    </xf>
    <xf numFmtId="2" fontId="28" fillId="0" borderId="0" xfId="0" applyNumberFormat="1" applyFont="1"/>
    <xf numFmtId="0" fontId="28" fillId="0" borderId="0" xfId="0" applyFont="1" applyAlignment="1">
      <alignment horizontal="center"/>
    </xf>
    <xf numFmtId="2" fontId="20" fillId="27" borderId="10" xfId="0" applyNumberFormat="1" applyFont="1" applyFill="1" applyBorder="1" applyAlignment="1">
      <alignment horizontal="right" indent="1"/>
    </xf>
    <xf numFmtId="9" fontId="18" fillId="25" borderId="10" xfId="1" applyFont="1" applyFill="1" applyBorder="1" applyAlignment="1">
      <alignment horizontal="right" indent="1"/>
    </xf>
    <xf numFmtId="1" fontId="18" fillId="25" borderId="10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9" fontId="31" fillId="0" borderId="0" xfId="1" applyFont="1" applyAlignment="1">
      <alignment horizontal="center"/>
    </xf>
    <xf numFmtId="10" fontId="18" fillId="27" borderId="10" xfId="0" applyNumberFormat="1" applyFont="1" applyFill="1" applyBorder="1" applyAlignment="1">
      <alignment horizontal="center"/>
    </xf>
    <xf numFmtId="1" fontId="20" fillId="27" borderId="10" xfId="0" applyNumberFormat="1" applyFont="1" applyFill="1" applyBorder="1" applyAlignment="1">
      <alignment horizontal="right" indent="1"/>
    </xf>
    <xf numFmtId="3" fontId="20" fillId="24" borderId="10" xfId="0" applyNumberFormat="1" applyFont="1" applyFill="1" applyBorder="1" applyAlignment="1">
      <alignment horizontal="right" vertical="center" indent="1"/>
    </xf>
    <xf numFmtId="3" fontId="20" fillId="27" borderId="10" xfId="0" applyNumberFormat="1" applyFont="1" applyFill="1" applyBorder="1" applyAlignment="1">
      <alignment horizontal="right" indent="1"/>
    </xf>
    <xf numFmtId="0" fontId="30" fillId="0" borderId="0" xfId="0" applyFont="1" applyAlignment="1">
      <alignment horizontal="left" vertical="center"/>
    </xf>
    <xf numFmtId="9" fontId="31" fillId="0" borderId="0" xfId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8" fillId="23" borderId="10" xfId="0" applyFont="1" applyFill="1" applyBorder="1" applyAlignment="1">
      <alignment horizontal="center" vertical="center"/>
    </xf>
    <xf numFmtId="0" fontId="18" fillId="28" borderId="10" xfId="0" applyFont="1" applyFill="1" applyBorder="1" applyAlignment="1">
      <alignment horizontal="center" vertical="center"/>
    </xf>
    <xf numFmtId="0" fontId="18" fillId="28" borderId="11" xfId="0" applyFont="1" applyFill="1" applyBorder="1" applyAlignment="1">
      <alignment vertical="center"/>
    </xf>
    <xf numFmtId="0" fontId="27" fillId="26" borderId="10" xfId="0" applyFont="1" applyFill="1" applyBorder="1" applyAlignment="1">
      <alignment horizontal="center" vertical="center"/>
    </xf>
    <xf numFmtId="185" fontId="26" fillId="26" borderId="11" xfId="0" applyNumberFormat="1" applyFont="1" applyFill="1" applyBorder="1" applyAlignment="1">
      <alignment vertical="center"/>
    </xf>
    <xf numFmtId="0" fontId="18" fillId="29" borderId="10" xfId="0" applyFont="1" applyFill="1" applyBorder="1"/>
    <xf numFmtId="0" fontId="18" fillId="29" borderId="10" xfId="0" applyFont="1" applyFill="1" applyBorder="1" applyAlignment="1">
      <alignment horizontal="center"/>
    </xf>
    <xf numFmtId="0" fontId="20" fillId="30" borderId="11" xfId="0" applyFont="1" applyFill="1" applyBorder="1"/>
    <xf numFmtId="2" fontId="20" fillId="30" borderId="10" xfId="0" applyNumberFormat="1" applyFont="1" applyFill="1" applyBorder="1" applyAlignment="1">
      <alignment horizontal="right" vertical="center" indent="1"/>
    </xf>
    <xf numFmtId="2" fontId="18" fillId="25" borderId="10" xfId="0" applyNumberFormat="1" applyFont="1" applyFill="1" applyBorder="1" applyAlignment="1">
      <alignment horizontal="right" vertical="center" indent="1"/>
    </xf>
    <xf numFmtId="0" fontId="31" fillId="0" borderId="0" xfId="0" applyFont="1" applyAlignment="1">
      <alignment horizontal="right" vertical="center" indent="1"/>
    </xf>
    <xf numFmtId="0" fontId="27" fillId="31" borderId="9" xfId="0" applyFont="1" applyFill="1" applyBorder="1"/>
    <xf numFmtId="10" fontId="20" fillId="30" borderId="10" xfId="0" applyNumberFormat="1" applyFont="1" applyFill="1" applyBorder="1" applyAlignment="1">
      <alignment horizontal="center"/>
    </xf>
    <xf numFmtId="3" fontId="20" fillId="30" borderId="10" xfId="0" applyNumberFormat="1" applyFont="1" applyFill="1" applyBorder="1" applyAlignment="1">
      <alignment horizontal="right" vertical="center" indent="1"/>
    </xf>
    <xf numFmtId="0" fontId="29" fillId="26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1" fontId="18" fillId="27" borderId="10" xfId="0" applyNumberFormat="1" applyFont="1" applyFill="1" applyBorder="1" applyAlignment="1">
      <alignment horizontal="center"/>
    </xf>
    <xf numFmtId="0" fontId="18" fillId="35" borderId="9" xfId="0" applyFont="1" applyFill="1" applyBorder="1"/>
    <xf numFmtId="0" fontId="18" fillId="35" borderId="11" xfId="0" applyFont="1" applyFill="1" applyBorder="1"/>
    <xf numFmtId="0" fontId="20" fillId="34" borderId="9" xfId="0" applyFont="1" applyFill="1" applyBorder="1"/>
    <xf numFmtId="0" fontId="26" fillId="31" borderId="19" xfId="0" applyFont="1" applyFill="1" applyBorder="1" applyAlignment="1">
      <alignment horizontal="center" vertical="center" wrapText="1"/>
    </xf>
    <xf numFmtId="11" fontId="0" fillId="0" borderId="1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3" fillId="36" borderId="19" xfId="0" applyFont="1" applyFill="1" applyBorder="1" applyAlignment="1">
      <alignment horizontal="center" vertical="center" wrapText="1"/>
    </xf>
    <xf numFmtId="2" fontId="33" fillId="36" borderId="19" xfId="0" applyNumberFormat="1" applyFont="1" applyFill="1" applyBorder="1" applyAlignment="1">
      <alignment horizontal="center" vertical="center" wrapText="1"/>
    </xf>
    <xf numFmtId="187" fontId="33" fillId="36" borderId="19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23" fillId="0" borderId="17" xfId="2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21" fillId="0" borderId="0" xfId="0" applyFont="1" applyAlignment="1">
      <alignment horizontal="center"/>
    </xf>
    <xf numFmtId="0" fontId="18" fillId="35" borderId="10" xfId="0" applyFont="1" applyFill="1" applyBorder="1"/>
    <xf numFmtId="0" fontId="20" fillId="34" borderId="10" xfId="0" applyFont="1" applyFill="1" applyBorder="1"/>
    <xf numFmtId="0" fontId="26" fillId="0" borderId="0" xfId="0" applyFont="1"/>
    <xf numFmtId="2" fontId="20" fillId="34" borderId="10" xfId="0" applyNumberFormat="1" applyFont="1" applyFill="1" applyBorder="1" applyAlignment="1">
      <alignment horizontal="right" indent="1"/>
    </xf>
    <xf numFmtId="0" fontId="20" fillId="0" borderId="0" xfId="0" applyFont="1" applyAlignment="1">
      <alignment horizontal="right" vertical="center"/>
    </xf>
    <xf numFmtId="2" fontId="20" fillId="0" borderId="10" xfId="0" applyNumberFormat="1" applyFont="1" applyBorder="1" applyAlignment="1">
      <alignment horizontal="right" indent="1"/>
    </xf>
    <xf numFmtId="0" fontId="0" fillId="0" borderId="19" xfId="0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0" fillId="0" borderId="19" xfId="0" applyBorder="1"/>
    <xf numFmtId="0" fontId="21" fillId="0" borderId="0" xfId="0" applyFont="1" applyAlignment="1">
      <alignment horizontal="left"/>
    </xf>
    <xf numFmtId="2" fontId="20" fillId="37" borderId="10" xfId="0" applyNumberFormat="1" applyFont="1" applyFill="1" applyBorder="1" applyAlignment="1">
      <alignment horizontal="right" indent="1"/>
    </xf>
    <xf numFmtId="1" fontId="18" fillId="6" borderId="10" xfId="0" applyNumberFormat="1" applyFont="1" applyFill="1" applyBorder="1" applyAlignment="1">
      <alignment horizontal="center"/>
    </xf>
    <xf numFmtId="2" fontId="18" fillId="6" borderId="10" xfId="0" applyNumberFormat="1" applyFont="1" applyFill="1" applyBorder="1" applyAlignment="1">
      <alignment horizontal="right" indent="1"/>
    </xf>
    <xf numFmtId="0" fontId="27" fillId="0" borderId="0" xfId="0" applyFont="1" applyAlignment="1">
      <alignment horizontal="right"/>
    </xf>
    <xf numFmtId="0" fontId="18" fillId="0" borderId="9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18" fillId="0" borderId="11" xfId="0" applyFont="1" applyBorder="1"/>
    <xf numFmtId="0" fontId="20" fillId="34" borderId="10" xfId="0" applyFont="1" applyFill="1" applyBorder="1" applyAlignment="1">
      <alignment horizontal="center"/>
    </xf>
    <xf numFmtId="0" fontId="18" fillId="0" borderId="9" xfId="0" applyFont="1" applyBorder="1"/>
    <xf numFmtId="0" fontId="40" fillId="30" borderId="9" xfId="0" applyFont="1" applyFill="1" applyBorder="1" applyAlignment="1">
      <alignment horizontal="left" vertical="center" wrapText="1"/>
    </xf>
    <xf numFmtId="0" fontId="40" fillId="30" borderId="10" xfId="0" applyFont="1" applyFill="1" applyBorder="1" applyAlignment="1">
      <alignment horizontal="center" vertical="center" wrapText="1"/>
    </xf>
    <xf numFmtId="2" fontId="20" fillId="30" borderId="10" xfId="0" applyNumberFormat="1" applyFont="1" applyFill="1" applyBorder="1" applyAlignment="1">
      <alignment horizontal="right" indent="1"/>
    </xf>
    <xf numFmtId="0" fontId="20" fillId="37" borderId="10" xfId="0" applyFont="1" applyFill="1" applyBorder="1" applyAlignment="1">
      <alignment vertical="center"/>
    </xf>
    <xf numFmtId="0" fontId="20" fillId="37" borderId="10" xfId="0" applyFont="1" applyFill="1" applyBorder="1" applyAlignment="1">
      <alignment horizontal="center"/>
    </xf>
    <xf numFmtId="0" fontId="20" fillId="31" borderId="10" xfId="0" applyFont="1" applyFill="1" applyBorder="1" applyAlignment="1">
      <alignment horizontal="center"/>
    </xf>
    <xf numFmtId="2" fontId="20" fillId="38" borderId="10" xfId="0" applyNumberFormat="1" applyFont="1" applyFill="1" applyBorder="1" applyAlignment="1">
      <alignment horizontal="right" indent="1"/>
    </xf>
    <xf numFmtId="2" fontId="20" fillId="37" borderId="14" xfId="0" applyNumberFormat="1" applyFont="1" applyFill="1" applyBorder="1" applyAlignment="1">
      <alignment horizontal="right" indent="1"/>
    </xf>
    <xf numFmtId="2" fontId="20" fillId="37" borderId="16" xfId="0" applyNumberFormat="1" applyFont="1" applyFill="1" applyBorder="1" applyAlignment="1">
      <alignment horizontal="right" indent="1"/>
    </xf>
    <xf numFmtId="0" fontId="20" fillId="0" borderId="10" xfId="0" applyFont="1" applyBorder="1" applyAlignment="1">
      <alignment vertical="center"/>
    </xf>
    <xf numFmtId="0" fontId="20" fillId="31" borderId="10" xfId="0" applyFont="1" applyFill="1" applyBorder="1" applyAlignment="1">
      <alignment vertical="center"/>
    </xf>
    <xf numFmtId="0" fontId="20" fillId="0" borderId="13" xfId="0" applyFont="1" applyBorder="1" applyAlignment="1">
      <alignment vertical="center"/>
    </xf>
    <xf numFmtId="9" fontId="20" fillId="0" borderId="14" xfId="0" applyNumberFormat="1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18" fillId="35" borderId="10" xfId="0" applyFont="1" applyFill="1" applyBorder="1" applyAlignment="1">
      <alignment horizontal="right" indent="1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180" fontId="27" fillId="0" borderId="19" xfId="0" applyNumberFormat="1" applyFon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10" fontId="20" fillId="0" borderId="10" xfId="0" applyNumberFormat="1" applyFont="1" applyBorder="1" applyAlignment="1">
      <alignment horizontal="center" vertical="center"/>
    </xf>
    <xf numFmtId="9" fontId="31" fillId="0" borderId="0" xfId="1" applyFont="1" applyBorder="1" applyAlignment="1">
      <alignment horizontal="center" vertical="center"/>
    </xf>
    <xf numFmtId="182" fontId="20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/>
    </xf>
    <xf numFmtId="169" fontId="20" fillId="0" borderId="0" xfId="0" applyNumberFormat="1" applyFont="1" applyAlignment="1">
      <alignment horizontal="right" indent="1"/>
    </xf>
    <xf numFmtId="0" fontId="18" fillId="40" borderId="11" xfId="0" applyFont="1" applyFill="1" applyBorder="1" applyAlignment="1">
      <alignment horizontal="left" vertical="center"/>
    </xf>
    <xf numFmtId="10" fontId="27" fillId="0" borderId="10" xfId="1" applyNumberFormat="1" applyFont="1" applyBorder="1" applyAlignment="1">
      <alignment horizontal="center"/>
    </xf>
    <xf numFmtId="0" fontId="20" fillId="40" borderId="9" xfId="0" applyFont="1" applyFill="1" applyBorder="1" applyAlignment="1">
      <alignment vertical="center"/>
    </xf>
    <xf numFmtId="0" fontId="20" fillId="40" borderId="10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2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20" fillId="30" borderId="9" xfId="0" applyFont="1" applyFill="1" applyBorder="1" applyAlignment="1">
      <alignment horizontal="left" vertical="center" wrapText="1"/>
    </xf>
    <xf numFmtId="0" fontId="20" fillId="0" borderId="9" xfId="0" applyFont="1" applyBorder="1"/>
    <xf numFmtId="43" fontId="18" fillId="0" borderId="10" xfId="1349" applyFont="1" applyFill="1" applyBorder="1" applyAlignment="1">
      <alignment horizontal="center"/>
    </xf>
    <xf numFmtId="43" fontId="20" fillId="0" borderId="10" xfId="1349" applyFont="1" applyFill="1" applyBorder="1" applyAlignment="1">
      <alignment horizontal="center" vertical="center"/>
    </xf>
    <xf numFmtId="9" fontId="20" fillId="0" borderId="10" xfId="1349" applyNumberFormat="1" applyFont="1" applyFill="1" applyBorder="1" applyAlignment="1">
      <alignment horizontal="right" vertical="center" indent="1"/>
    </xf>
    <xf numFmtId="10" fontId="20" fillId="0" borderId="10" xfId="1349" applyNumberFormat="1" applyFont="1" applyFill="1" applyBorder="1" applyAlignment="1">
      <alignment horizontal="right" vertical="center" indent="1"/>
    </xf>
    <xf numFmtId="1" fontId="20" fillId="0" borderId="10" xfId="0" applyNumberFormat="1" applyFont="1" applyBorder="1" applyAlignment="1">
      <alignment horizontal="right" indent="1"/>
    </xf>
    <xf numFmtId="0" fontId="18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right" vertical="center" indent="1"/>
    </xf>
    <xf numFmtId="2" fontId="32" fillId="0" borderId="15" xfId="0" applyNumberFormat="1" applyFont="1" applyBorder="1" applyAlignment="1">
      <alignment horizontal="left" vertical="center"/>
    </xf>
    <xf numFmtId="2" fontId="20" fillId="0" borderId="0" xfId="0" applyNumberFormat="1" applyFont="1" applyAlignment="1">
      <alignment horizontal="right" vertical="center"/>
    </xf>
    <xf numFmtId="2" fontId="32" fillId="0" borderId="21" xfId="0" applyNumberFormat="1" applyFont="1" applyBorder="1" applyAlignment="1">
      <alignment horizontal="left" vertical="center"/>
    </xf>
    <xf numFmtId="2" fontId="20" fillId="0" borderId="16" xfId="0" applyNumberFormat="1" applyFont="1" applyBorder="1" applyAlignment="1">
      <alignment horizontal="right" indent="1"/>
    </xf>
    <xf numFmtId="2" fontId="18" fillId="0" borderId="18" xfId="0" applyNumberFormat="1" applyFont="1" applyBorder="1" applyAlignment="1">
      <alignment horizontal="left" vertical="center"/>
    </xf>
    <xf numFmtId="180" fontId="20" fillId="0" borderId="10" xfId="0" applyNumberFormat="1" applyFont="1" applyBorder="1" applyAlignment="1">
      <alignment horizontal="right" indent="1"/>
    </xf>
    <xf numFmtId="0" fontId="29" fillId="28" borderId="11" xfId="0" applyFont="1" applyFill="1" applyBorder="1" applyAlignment="1">
      <alignment vertical="center"/>
    </xf>
    <xf numFmtId="0" fontId="18" fillId="41" borderId="14" xfId="0" applyFont="1" applyFill="1" applyBorder="1" applyAlignment="1">
      <alignment horizontal="center" vertical="center"/>
    </xf>
    <xf numFmtId="0" fontId="18" fillId="42" borderId="16" xfId="0" applyFont="1" applyFill="1" applyBorder="1" applyAlignment="1">
      <alignment horizontal="center"/>
    </xf>
    <xf numFmtId="2" fontId="20" fillId="42" borderId="16" xfId="0" applyNumberFormat="1" applyFont="1" applyFill="1" applyBorder="1" applyAlignment="1">
      <alignment horizontal="right" indent="1"/>
    </xf>
    <xf numFmtId="2" fontId="20" fillId="42" borderId="0" xfId="0" applyNumberFormat="1" applyFont="1" applyFill="1" applyAlignment="1">
      <alignment horizontal="right" indent="1"/>
    </xf>
    <xf numFmtId="0" fontId="18" fillId="34" borderId="14" xfId="0" applyFont="1" applyFill="1" applyBorder="1" applyAlignment="1">
      <alignment horizontal="center"/>
    </xf>
    <xf numFmtId="0" fontId="18" fillId="34" borderId="15" xfId="0" applyFont="1" applyFill="1" applyBorder="1"/>
    <xf numFmtId="0" fontId="18" fillId="34" borderId="16" xfId="0" applyFont="1" applyFill="1" applyBorder="1" applyAlignment="1">
      <alignment horizontal="center"/>
    </xf>
    <xf numFmtId="0" fontId="18" fillId="34" borderId="18" xfId="0" applyFont="1" applyFill="1" applyBorder="1"/>
    <xf numFmtId="0" fontId="18" fillId="43" borderId="9" xfId="0" applyFont="1" applyFill="1" applyBorder="1"/>
    <xf numFmtId="1" fontId="18" fillId="43" borderId="10" xfId="0" applyNumberFormat="1" applyFont="1" applyFill="1" applyBorder="1" applyAlignment="1">
      <alignment horizontal="center"/>
    </xf>
    <xf numFmtId="2" fontId="18" fillId="43" borderId="10" xfId="0" applyNumberFormat="1" applyFont="1" applyFill="1" applyBorder="1" applyAlignment="1">
      <alignment horizontal="right" vertical="center" indent="1"/>
    </xf>
    <xf numFmtId="0" fontId="18" fillId="43" borderId="11" xfId="0" applyFont="1" applyFill="1" applyBorder="1"/>
    <xf numFmtId="0" fontId="20" fillId="43" borderId="10" xfId="0" applyFont="1" applyFill="1" applyBorder="1"/>
    <xf numFmtId="0" fontId="20" fillId="43" borderId="11" xfId="0" applyFont="1" applyFill="1" applyBorder="1"/>
    <xf numFmtId="0" fontId="18" fillId="42" borderId="10" xfId="0" applyFont="1" applyFill="1" applyBorder="1" applyAlignment="1">
      <alignment horizontal="center"/>
    </xf>
    <xf numFmtId="2" fontId="20" fillId="42" borderId="10" xfId="0" applyNumberFormat="1" applyFont="1" applyFill="1" applyBorder="1" applyAlignment="1">
      <alignment horizontal="right" indent="1"/>
    </xf>
    <xf numFmtId="0" fontId="18" fillId="42" borderId="11" xfId="0" applyFont="1" applyFill="1" applyBorder="1"/>
    <xf numFmtId="0" fontId="18" fillId="33" borderId="16" xfId="0" applyFont="1" applyFill="1" applyBorder="1" applyAlignment="1">
      <alignment horizontal="center"/>
    </xf>
    <xf numFmtId="186" fontId="27" fillId="33" borderId="10" xfId="0" applyNumberFormat="1" applyFont="1" applyFill="1" applyBorder="1"/>
    <xf numFmtId="0" fontId="27" fillId="33" borderId="16" xfId="0" applyFont="1" applyFill="1" applyBorder="1" applyAlignment="1">
      <alignment horizontal="center"/>
    </xf>
    <xf numFmtId="0" fontId="27" fillId="33" borderId="18" xfId="0" applyFont="1" applyFill="1" applyBorder="1"/>
    <xf numFmtId="1" fontId="18" fillId="25" borderId="10" xfId="0" applyNumberFormat="1" applyFont="1" applyFill="1" applyBorder="1" applyAlignment="1">
      <alignment horizontal="right" vertical="center" indent="1"/>
    </xf>
    <xf numFmtId="3" fontId="20" fillId="0" borderId="10" xfId="0" applyNumberFormat="1" applyFont="1" applyBorder="1" applyAlignment="1">
      <alignment horizontal="right" vertical="center" indent="1"/>
    </xf>
    <xf numFmtId="1" fontId="18" fillId="0" borderId="10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right" vertical="center" indent="1"/>
    </xf>
    <xf numFmtId="1" fontId="18" fillId="43" borderId="10" xfId="0" applyNumberFormat="1" applyFont="1" applyFill="1" applyBorder="1" applyAlignment="1">
      <alignment horizontal="right" vertical="center" indent="1"/>
    </xf>
    <xf numFmtId="2" fontId="20" fillId="0" borderId="10" xfId="0" applyNumberFormat="1" applyFont="1" applyBorder="1" applyAlignment="1">
      <alignment horizontal="center" vertical="center"/>
    </xf>
    <xf numFmtId="1" fontId="18" fillId="25" borderId="16" xfId="0" applyNumberFormat="1" applyFont="1" applyFill="1" applyBorder="1" applyAlignment="1">
      <alignment horizontal="center"/>
    </xf>
    <xf numFmtId="2" fontId="18" fillId="25" borderId="16" xfId="0" applyNumberFormat="1" applyFont="1" applyFill="1" applyBorder="1" applyAlignment="1">
      <alignment horizontal="right" vertical="center" indent="1"/>
    </xf>
    <xf numFmtId="1" fontId="18" fillId="25" borderId="14" xfId="0" applyNumberFormat="1" applyFont="1" applyFill="1" applyBorder="1" applyAlignment="1">
      <alignment horizontal="center"/>
    </xf>
    <xf numFmtId="1" fontId="18" fillId="25" borderId="14" xfId="0" applyNumberFormat="1" applyFont="1" applyFill="1" applyBorder="1" applyAlignment="1">
      <alignment horizontal="right" vertical="center" indent="1"/>
    </xf>
    <xf numFmtId="183" fontId="20" fillId="0" borderId="10" xfId="0" applyNumberFormat="1" applyFont="1" applyBorder="1" applyAlignment="1">
      <alignment horizontal="right" vertical="center" indent="1"/>
    </xf>
    <xf numFmtId="2" fontId="18" fillId="0" borderId="10" xfId="0" applyNumberFormat="1" applyFont="1" applyBorder="1" applyAlignment="1">
      <alignment horizontal="right" indent="1"/>
    </xf>
    <xf numFmtId="0" fontId="19" fillId="35" borderId="10" xfId="0" applyFont="1" applyFill="1" applyBorder="1" applyAlignment="1">
      <alignment horizontal="center"/>
    </xf>
    <xf numFmtId="2" fontId="20" fillId="44" borderId="14" xfId="0" applyNumberFormat="1" applyFont="1" applyFill="1" applyBorder="1" applyAlignment="1">
      <alignment horizontal="right" vertical="center" indent="1"/>
    </xf>
    <xf numFmtId="2" fontId="18" fillId="44" borderId="15" xfId="0" applyNumberFormat="1" applyFont="1" applyFill="1" applyBorder="1" applyAlignment="1">
      <alignment horizontal="left"/>
    </xf>
    <xf numFmtId="0" fontId="18" fillId="44" borderId="10" xfId="0" applyFont="1" applyFill="1" applyBorder="1" applyAlignment="1">
      <alignment horizontal="center"/>
    </xf>
    <xf numFmtId="9" fontId="20" fillId="44" borderId="10" xfId="0" applyNumberFormat="1" applyFont="1" applyFill="1" applyBorder="1" applyAlignment="1">
      <alignment horizontal="right" vertical="center" indent="1"/>
    </xf>
    <xf numFmtId="2" fontId="18" fillId="44" borderId="11" xfId="0" applyNumberFormat="1" applyFont="1" applyFill="1" applyBorder="1" applyAlignment="1">
      <alignment horizontal="left"/>
    </xf>
    <xf numFmtId="0" fontId="20" fillId="44" borderId="10" xfId="0" applyFont="1" applyFill="1" applyBorder="1" applyAlignment="1">
      <alignment horizontal="right" vertical="center" indent="1"/>
    </xf>
    <xf numFmtId="2" fontId="20" fillId="44" borderId="10" xfId="0" applyNumberFormat="1" applyFont="1" applyFill="1" applyBorder="1" applyAlignment="1">
      <alignment horizontal="right" vertical="center" indent="1"/>
    </xf>
    <xf numFmtId="0" fontId="18" fillId="46" borderId="10" xfId="0" applyFont="1" applyFill="1" applyBorder="1" applyAlignment="1">
      <alignment horizontal="center"/>
    </xf>
    <xf numFmtId="10" fontId="20" fillId="46" borderId="10" xfId="0" applyNumberFormat="1" applyFont="1" applyFill="1" applyBorder="1" applyAlignment="1">
      <alignment horizontal="right" indent="1"/>
    </xf>
    <xf numFmtId="0" fontId="18" fillId="46" borderId="11" xfId="0" applyFont="1" applyFill="1" applyBorder="1"/>
    <xf numFmtId="1" fontId="20" fillId="44" borderId="10" xfId="0" applyNumberFormat="1" applyFont="1" applyFill="1" applyBorder="1" applyAlignment="1">
      <alignment horizontal="right" vertical="center" indent="1"/>
    </xf>
    <xf numFmtId="1" fontId="20" fillId="0" borderId="10" xfId="0" applyNumberFormat="1" applyFont="1" applyBorder="1" applyAlignment="1">
      <alignment horizontal="right" vertical="center" indent="1"/>
    </xf>
    <xf numFmtId="1" fontId="20" fillId="34" borderId="14" xfId="0" applyNumberFormat="1" applyFont="1" applyFill="1" applyBorder="1" applyAlignment="1">
      <alignment horizontal="right" vertical="center" indent="1"/>
    </xf>
    <xf numFmtId="1" fontId="20" fillId="34" borderId="16" xfId="0" applyNumberFormat="1" applyFont="1" applyFill="1" applyBorder="1" applyAlignment="1">
      <alignment horizontal="right" vertical="center" indent="1"/>
    </xf>
    <xf numFmtId="1" fontId="20" fillId="28" borderId="10" xfId="0" applyNumberFormat="1" applyFont="1" applyFill="1" applyBorder="1" applyAlignment="1">
      <alignment horizontal="right" vertical="center" indent="1"/>
    </xf>
    <xf numFmtId="0" fontId="0" fillId="0" borderId="10" xfId="0" applyBorder="1" applyAlignment="1">
      <alignment horizontal="center" vertical="center"/>
    </xf>
    <xf numFmtId="2" fontId="18" fillId="0" borderId="10" xfId="0" applyNumberFormat="1" applyFont="1" applyBorder="1" applyAlignment="1">
      <alignment horizontal="right" vertical="center" indent="1"/>
    </xf>
    <xf numFmtId="183" fontId="18" fillId="0" borderId="10" xfId="0" applyNumberFormat="1" applyFont="1" applyBorder="1" applyAlignment="1">
      <alignment horizontal="right" vertical="center" indent="1"/>
    </xf>
    <xf numFmtId="2" fontId="18" fillId="40" borderId="10" xfId="0" applyNumberFormat="1" applyFont="1" applyFill="1" applyBorder="1" applyAlignment="1">
      <alignment horizontal="right" vertical="center" indent="1"/>
    </xf>
    <xf numFmtId="2" fontId="20" fillId="6" borderId="10" xfId="0" applyNumberFormat="1" applyFont="1" applyFill="1" applyBorder="1" applyAlignment="1">
      <alignment horizontal="right" vertical="center" indent="1"/>
    </xf>
    <xf numFmtId="0" fontId="20" fillId="26" borderId="9" xfId="0" applyFont="1" applyFill="1" applyBorder="1" applyAlignment="1">
      <alignment vertical="center"/>
    </xf>
    <xf numFmtId="0" fontId="20" fillId="26" borderId="10" xfId="0" applyFont="1" applyFill="1" applyBorder="1" applyAlignment="1">
      <alignment horizontal="center"/>
    </xf>
    <xf numFmtId="180" fontId="20" fillId="32" borderId="10" xfId="0" applyNumberFormat="1" applyFont="1" applyFill="1" applyBorder="1" applyAlignment="1">
      <alignment horizontal="right" indent="1"/>
    </xf>
    <xf numFmtId="0" fontId="26" fillId="0" borderId="0" xfId="0" applyFont="1" applyAlignment="1">
      <alignment horizontal="center"/>
    </xf>
    <xf numFmtId="10" fontId="20" fillId="28" borderId="10" xfId="0" applyNumberFormat="1" applyFont="1" applyFill="1" applyBorder="1" applyAlignment="1">
      <alignment horizontal="right" vertical="center" indent="1"/>
    </xf>
    <xf numFmtId="0" fontId="20" fillId="44" borderId="10" xfId="0" applyFont="1" applyFill="1" applyBorder="1" applyAlignment="1">
      <alignment vertical="center" wrapText="1"/>
    </xf>
    <xf numFmtId="0" fontId="20" fillId="44" borderId="10" xfId="0" applyFont="1" applyFill="1" applyBorder="1" applyAlignment="1">
      <alignment horizontal="center" vertical="center"/>
    </xf>
    <xf numFmtId="0" fontId="20" fillId="44" borderId="9" xfId="0" applyFont="1" applyFill="1" applyBorder="1" applyAlignment="1">
      <alignment vertical="center"/>
    </xf>
    <xf numFmtId="0" fontId="20" fillId="44" borderId="10" xfId="0" applyFont="1" applyFill="1" applyBorder="1" applyAlignment="1">
      <alignment horizontal="center"/>
    </xf>
    <xf numFmtId="2" fontId="20" fillId="44" borderId="10" xfId="0" applyNumberFormat="1" applyFont="1" applyFill="1" applyBorder="1" applyAlignment="1">
      <alignment horizontal="right" indent="1"/>
    </xf>
    <xf numFmtId="0" fontId="20" fillId="44" borderId="10" xfId="0" applyFont="1" applyFill="1" applyBorder="1" applyAlignment="1">
      <alignment vertical="center"/>
    </xf>
    <xf numFmtId="0" fontId="20" fillId="44" borderId="10" xfId="0" applyFont="1" applyFill="1" applyBorder="1" applyAlignment="1">
      <alignment horizontal="left"/>
    </xf>
    <xf numFmtId="0" fontId="20" fillId="45" borderId="9" xfId="0" applyFont="1" applyFill="1" applyBorder="1" applyAlignment="1">
      <alignment vertical="center" wrapText="1"/>
    </xf>
    <xf numFmtId="0" fontId="20" fillId="45" borderId="10" xfId="0" applyFont="1" applyFill="1" applyBorder="1" applyAlignment="1">
      <alignment horizontal="center"/>
    </xf>
    <xf numFmtId="10" fontId="20" fillId="45" borderId="10" xfId="0" applyNumberFormat="1" applyFont="1" applyFill="1" applyBorder="1" applyAlignment="1">
      <alignment horizontal="right" indent="1"/>
    </xf>
    <xf numFmtId="0" fontId="20" fillId="0" borderId="9" xfId="0" applyFont="1" applyBorder="1" applyAlignment="1">
      <alignment vertical="center" wrapText="1"/>
    </xf>
    <xf numFmtId="10" fontId="20" fillId="0" borderId="10" xfId="0" applyNumberFormat="1" applyFont="1" applyBorder="1" applyAlignment="1">
      <alignment horizontal="right" indent="1"/>
    </xf>
    <xf numFmtId="0" fontId="20" fillId="26" borderId="10" xfId="0" applyFont="1" applyFill="1" applyBorder="1" applyAlignment="1">
      <alignment vertical="center"/>
    </xf>
    <xf numFmtId="2" fontId="20" fillId="32" borderId="10" xfId="0" applyNumberFormat="1" applyFont="1" applyFill="1" applyBorder="1" applyAlignment="1">
      <alignment horizontal="right" indent="1"/>
    </xf>
    <xf numFmtId="0" fontId="18" fillId="47" borderId="10" xfId="0" applyFont="1" applyFill="1" applyBorder="1" applyAlignment="1">
      <alignment horizontal="center" vertical="center"/>
    </xf>
    <xf numFmtId="180" fontId="18" fillId="47" borderId="10" xfId="0" applyNumberFormat="1" applyFont="1" applyFill="1" applyBorder="1" applyAlignment="1">
      <alignment horizontal="right" vertical="center" indent="1"/>
    </xf>
    <xf numFmtId="0" fontId="18" fillId="47" borderId="10" xfId="0" applyFont="1" applyFill="1" applyBorder="1" applyAlignment="1">
      <alignment vertical="center"/>
    </xf>
    <xf numFmtId="0" fontId="20" fillId="47" borderId="9" xfId="0" applyFont="1" applyFill="1" applyBorder="1" applyAlignment="1">
      <alignment vertical="center"/>
    </xf>
    <xf numFmtId="0" fontId="20" fillId="47" borderId="10" xfId="0" applyFont="1" applyFill="1" applyBorder="1" applyAlignment="1">
      <alignment horizontal="center" vertical="center"/>
    </xf>
    <xf numFmtId="180" fontId="20" fillId="47" borderId="10" xfId="0" applyNumberFormat="1" applyFont="1" applyFill="1" applyBorder="1" applyAlignment="1">
      <alignment horizontal="right" vertical="center" indent="1"/>
    </xf>
    <xf numFmtId="0" fontId="27" fillId="37" borderId="10" xfId="0" applyFont="1" applyFill="1" applyBorder="1" applyAlignment="1">
      <alignment vertical="center"/>
    </xf>
    <xf numFmtId="0" fontId="27" fillId="37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right" indent="1"/>
    </xf>
    <xf numFmtId="2" fontId="27" fillId="37" borderId="14" xfId="0" applyNumberFormat="1" applyFont="1" applyFill="1" applyBorder="1" applyAlignment="1">
      <alignment horizontal="right" indent="1"/>
    </xf>
    <xf numFmtId="0" fontId="20" fillId="45" borderId="9" xfId="0" applyFont="1" applyFill="1" applyBorder="1" applyAlignment="1">
      <alignment vertical="center"/>
    </xf>
    <xf numFmtId="0" fontId="20" fillId="45" borderId="10" xfId="0" applyFont="1" applyFill="1" applyBorder="1" applyAlignment="1">
      <alignment horizontal="center" vertical="center"/>
    </xf>
    <xf numFmtId="2" fontId="18" fillId="45" borderId="10" xfId="0" applyNumberFormat="1" applyFont="1" applyFill="1" applyBorder="1" applyAlignment="1">
      <alignment horizontal="right" vertical="center" indent="1"/>
    </xf>
    <xf numFmtId="0" fontId="18" fillId="45" borderId="11" xfId="0" applyFont="1" applyFill="1" applyBorder="1" applyAlignment="1">
      <alignment horizontal="left" vertical="center"/>
    </xf>
    <xf numFmtId="0" fontId="18" fillId="45" borderId="9" xfId="0" applyFont="1" applyFill="1" applyBorder="1" applyAlignment="1">
      <alignment vertical="center"/>
    </xf>
    <xf numFmtId="0" fontId="27" fillId="45" borderId="10" xfId="0" applyFont="1" applyFill="1" applyBorder="1" applyAlignment="1">
      <alignment horizontal="center" vertical="center"/>
    </xf>
    <xf numFmtId="0" fontId="20" fillId="45" borderId="11" xfId="0" applyFont="1" applyFill="1" applyBorder="1" applyAlignment="1">
      <alignment vertical="center"/>
    </xf>
    <xf numFmtId="0" fontId="18" fillId="26" borderId="9" xfId="0" applyFont="1" applyFill="1" applyBorder="1" applyAlignment="1">
      <alignment vertical="center"/>
    </xf>
    <xf numFmtId="2" fontId="18" fillId="26" borderId="10" xfId="0" applyNumberFormat="1" applyFont="1" applyFill="1" applyBorder="1" applyAlignment="1">
      <alignment horizontal="right" vertical="center" indent="1"/>
    </xf>
    <xf numFmtId="0" fontId="20" fillId="26" borderId="11" xfId="0" applyFont="1" applyFill="1" applyBorder="1" applyAlignment="1">
      <alignment vertical="center"/>
    </xf>
    <xf numFmtId="0" fontId="20" fillId="45" borderId="10" xfId="0" applyFont="1" applyFill="1" applyBorder="1" applyAlignment="1">
      <alignment vertical="center"/>
    </xf>
    <xf numFmtId="2" fontId="20" fillId="45" borderId="10" xfId="0" applyNumberFormat="1" applyFont="1" applyFill="1" applyBorder="1" applyAlignment="1">
      <alignment horizontal="right" indent="1"/>
    </xf>
    <xf numFmtId="182" fontId="27" fillId="33" borderId="16" xfId="1" applyNumberFormat="1" applyFont="1" applyFill="1" applyBorder="1" applyAlignment="1">
      <alignment horizontal="right" indent="1"/>
    </xf>
    <xf numFmtId="10" fontId="27" fillId="30" borderId="10" xfId="0" applyNumberFormat="1" applyFont="1" applyFill="1" applyBorder="1" applyAlignment="1">
      <alignment horizontal="center"/>
    </xf>
    <xf numFmtId="0" fontId="27" fillId="30" borderId="11" xfId="0" applyFont="1" applyFill="1" applyBorder="1"/>
    <xf numFmtId="0" fontId="0" fillId="0" borderId="0" xfId="0" applyAlignment="1">
      <alignment horizontal="left"/>
    </xf>
    <xf numFmtId="9" fontId="24" fillId="0" borderId="0" xfId="1"/>
    <xf numFmtId="183" fontId="0" fillId="0" borderId="0" xfId="0" applyNumberFormat="1"/>
    <xf numFmtId="0" fontId="43" fillId="0" borderId="23" xfId="0" applyFont="1" applyBorder="1" applyAlignment="1">
      <alignment horizontal="center" vertical="center" wrapText="1"/>
    </xf>
    <xf numFmtId="2" fontId="27" fillId="37" borderId="10" xfId="0" applyNumberFormat="1" applyFont="1" applyFill="1" applyBorder="1" applyAlignment="1">
      <alignment horizontal="right" indent="1"/>
    </xf>
    <xf numFmtId="0" fontId="27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horizontal="center"/>
    </xf>
    <xf numFmtId="2" fontId="27" fillId="37" borderId="16" xfId="0" applyNumberFormat="1" applyFont="1" applyFill="1" applyBorder="1" applyAlignment="1">
      <alignment horizontal="right" indent="1"/>
    </xf>
    <xf numFmtId="0" fontId="27" fillId="0" borderId="10" xfId="0" applyFont="1" applyBorder="1" applyAlignment="1">
      <alignment vertical="center"/>
    </xf>
    <xf numFmtId="1" fontId="18" fillId="25" borderId="10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18" fillId="48" borderId="10" xfId="0" applyFont="1" applyFill="1" applyBorder="1" applyAlignment="1">
      <alignment horizontal="center" vertical="center"/>
    </xf>
    <xf numFmtId="9" fontId="20" fillId="28" borderId="10" xfId="0" applyNumberFormat="1" applyFont="1" applyFill="1" applyBorder="1" applyAlignment="1">
      <alignment horizontal="right" vertical="center" indent="1"/>
    </xf>
    <xf numFmtId="0" fontId="18" fillId="48" borderId="11" xfId="0" applyFont="1" applyFill="1" applyBorder="1" applyAlignment="1">
      <alignment vertical="center"/>
    </xf>
    <xf numFmtId="43" fontId="18" fillId="27" borderId="10" xfId="1349" applyFont="1" applyFill="1" applyBorder="1" applyAlignment="1">
      <alignment horizontal="center"/>
    </xf>
    <xf numFmtId="41" fontId="20" fillId="27" borderId="10" xfId="1349" applyNumberFormat="1" applyFont="1" applyFill="1" applyBorder="1" applyAlignment="1">
      <alignment horizontal="right" vertical="center" indent="1"/>
    </xf>
    <xf numFmtId="0" fontId="18" fillId="0" borderId="17" xfId="0" applyFont="1" applyBorder="1"/>
    <xf numFmtId="1" fontId="18" fillId="0" borderId="10" xfId="0" applyNumberFormat="1" applyFont="1" applyBorder="1" applyAlignment="1">
      <alignment horizontal="right" vertical="center" indent="1"/>
    </xf>
    <xf numFmtId="1" fontId="18" fillId="45" borderId="10" xfId="0" applyNumberFormat="1" applyFont="1" applyFill="1" applyBorder="1" applyAlignment="1">
      <alignment horizontal="center"/>
    </xf>
    <xf numFmtId="1" fontId="18" fillId="45" borderId="10" xfId="0" applyNumberFormat="1" applyFont="1" applyFill="1" applyBorder="1" applyAlignment="1">
      <alignment horizontal="right" vertical="center" indent="1"/>
    </xf>
    <xf numFmtId="0" fontId="18" fillId="45" borderId="11" xfId="0" applyFont="1" applyFill="1" applyBorder="1"/>
    <xf numFmtId="2" fontId="20" fillId="0" borderId="16" xfId="0" applyNumberFormat="1" applyFont="1" applyBorder="1" applyAlignment="1">
      <alignment horizontal="right" vertical="center" indent="1"/>
    </xf>
    <xf numFmtId="0" fontId="18" fillId="49" borderId="9" xfId="0" applyFont="1" applyFill="1" applyBorder="1"/>
    <xf numFmtId="1" fontId="18" fillId="49" borderId="10" xfId="0" applyNumberFormat="1" applyFont="1" applyFill="1" applyBorder="1" applyAlignment="1">
      <alignment horizontal="center"/>
    </xf>
    <xf numFmtId="9" fontId="18" fillId="49" borderId="10" xfId="1" applyFont="1" applyFill="1" applyBorder="1" applyAlignment="1">
      <alignment horizontal="right" indent="1"/>
    </xf>
    <xf numFmtId="0" fontId="18" fillId="49" borderId="11" xfId="0" applyFont="1" applyFill="1" applyBorder="1"/>
    <xf numFmtId="0" fontId="27" fillId="45" borderId="9" xfId="0" applyFont="1" applyFill="1" applyBorder="1" applyAlignment="1">
      <alignment horizontal="left"/>
    </xf>
    <xf numFmtId="0" fontId="28" fillId="45" borderId="10" xfId="0" applyFont="1" applyFill="1" applyBorder="1" applyAlignment="1">
      <alignment horizontal="center"/>
    </xf>
    <xf numFmtId="9" fontId="20" fillId="45" borderId="10" xfId="0" applyNumberFormat="1" applyFont="1" applyFill="1" applyBorder="1" applyAlignment="1">
      <alignment horizontal="right" indent="1"/>
    </xf>
    <xf numFmtId="0" fontId="20" fillId="0" borderId="12" xfId="0" applyFont="1" applyBorder="1"/>
    <xf numFmtId="0" fontId="18" fillId="0" borderId="12" xfId="0" applyFont="1" applyBorder="1"/>
    <xf numFmtId="0" fontId="27" fillId="0" borderId="12" xfId="0" applyFont="1" applyBorder="1"/>
    <xf numFmtId="0" fontId="22" fillId="0" borderId="0" xfId="0" applyFont="1" applyAlignment="1">
      <alignment horizontal="center"/>
    </xf>
    <xf numFmtId="0" fontId="20" fillId="45" borderId="10" xfId="0" applyFont="1" applyFill="1" applyBorder="1" applyAlignment="1">
      <alignment vertical="center" wrapText="1"/>
    </xf>
    <xf numFmtId="0" fontId="20" fillId="0" borderId="10" xfId="0" applyFont="1" applyBorder="1"/>
    <xf numFmtId="2" fontId="20" fillId="43" borderId="10" xfId="0" applyNumberFormat="1" applyFont="1" applyFill="1" applyBorder="1" applyAlignment="1">
      <alignment horizontal="right" vertical="center" indent="1"/>
    </xf>
    <xf numFmtId="2" fontId="18" fillId="43" borderId="10" xfId="0" applyNumberFormat="1" applyFont="1" applyFill="1" applyBorder="1" applyAlignment="1">
      <alignment horizontal="right" indent="1"/>
    </xf>
    <xf numFmtId="1" fontId="18" fillId="41" borderId="10" xfId="0" applyNumberFormat="1" applyFont="1" applyFill="1" applyBorder="1" applyAlignment="1">
      <alignment horizontal="center"/>
    </xf>
    <xf numFmtId="2" fontId="18" fillId="41" borderId="10" xfId="0" applyNumberFormat="1" applyFont="1" applyFill="1" applyBorder="1" applyAlignment="1">
      <alignment horizontal="right" vertical="center" indent="1"/>
    </xf>
    <xf numFmtId="0" fontId="18" fillId="41" borderId="11" xfId="0" applyFont="1" applyFill="1" applyBorder="1"/>
    <xf numFmtId="10" fontId="26" fillId="0" borderId="10" xfId="1" applyNumberFormat="1" applyFont="1" applyBorder="1" applyAlignment="1">
      <alignment horizontal="center"/>
    </xf>
    <xf numFmtId="10" fontId="20" fillId="51" borderId="10" xfId="0" applyNumberFormat="1" applyFont="1" applyFill="1" applyBorder="1" applyAlignment="1">
      <alignment horizontal="center"/>
    </xf>
    <xf numFmtId="4" fontId="20" fillId="51" borderId="10" xfId="0" applyNumberFormat="1" applyFont="1" applyFill="1" applyBorder="1" applyAlignment="1">
      <alignment horizontal="right" vertical="center" indent="1"/>
    </xf>
    <xf numFmtId="0" fontId="20" fillId="51" borderId="11" xfId="0" applyFont="1" applyFill="1" applyBorder="1"/>
    <xf numFmtId="0" fontId="28" fillId="0" borderId="19" xfId="0" applyFont="1" applyBorder="1"/>
    <xf numFmtId="180" fontId="20" fillId="30" borderId="10" xfId="0" applyNumberFormat="1" applyFont="1" applyFill="1" applyBorder="1" applyAlignment="1">
      <alignment horizontal="right" vertical="center" indent="1"/>
    </xf>
    <xf numFmtId="186" fontId="27" fillId="0" borderId="10" xfId="0" applyNumberFormat="1" applyFont="1" applyBorder="1"/>
    <xf numFmtId="0" fontId="27" fillId="31" borderId="19" xfId="0" applyFont="1" applyFill="1" applyBorder="1" applyAlignment="1">
      <alignment horizontal="center" vertical="center" wrapText="1"/>
    </xf>
    <xf numFmtId="2" fontId="20" fillId="45" borderId="16" xfId="0" applyNumberFormat="1" applyFont="1" applyFill="1" applyBorder="1" applyAlignment="1">
      <alignment horizontal="right" vertical="center" indent="1"/>
    </xf>
    <xf numFmtId="2" fontId="18" fillId="45" borderId="18" xfId="0" applyNumberFormat="1" applyFont="1" applyFill="1" applyBorder="1" applyAlignment="1">
      <alignment horizontal="left"/>
    </xf>
    <xf numFmtId="0" fontId="40" fillId="26" borderId="9" xfId="0" applyFont="1" applyFill="1" applyBorder="1" applyAlignment="1">
      <alignment horizontal="left" vertical="center" wrapText="1"/>
    </xf>
    <xf numFmtId="0" fontId="40" fillId="26" borderId="10" xfId="0" applyFont="1" applyFill="1" applyBorder="1" applyAlignment="1">
      <alignment horizontal="center" vertical="center" wrapText="1"/>
    </xf>
    <xf numFmtId="2" fontId="20" fillId="26" borderId="10" xfId="0" applyNumberFormat="1" applyFont="1" applyFill="1" applyBorder="1" applyAlignment="1">
      <alignment horizontal="right" indent="1"/>
    </xf>
    <xf numFmtId="180" fontId="18" fillId="0" borderId="10" xfId="0" applyNumberFormat="1" applyFont="1" applyBorder="1" applyAlignment="1">
      <alignment horizontal="right" indent="1"/>
    </xf>
    <xf numFmtId="0" fontId="40" fillId="0" borderId="9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0" fontId="18" fillId="52" borderId="10" xfId="0" applyFont="1" applyFill="1" applyBorder="1"/>
    <xf numFmtId="0" fontId="18" fillId="52" borderId="10" xfId="0" applyFont="1" applyFill="1" applyBorder="1" applyAlignment="1">
      <alignment horizontal="center"/>
    </xf>
    <xf numFmtId="2" fontId="20" fillId="52" borderId="10" xfId="0" applyNumberFormat="1" applyFont="1" applyFill="1" applyBorder="1" applyAlignment="1">
      <alignment horizontal="right" indent="1"/>
    </xf>
    <xf numFmtId="1" fontId="20" fillId="29" borderId="10" xfId="0" applyNumberFormat="1" applyFont="1" applyFill="1" applyBorder="1" applyAlignment="1">
      <alignment horizontal="right" vertical="center" indent="1"/>
    </xf>
    <xf numFmtId="2" fontId="27" fillId="28" borderId="10" xfId="0" applyNumberFormat="1" applyFont="1" applyFill="1" applyBorder="1" applyAlignment="1">
      <alignment horizontal="right" vertical="center" indent="1"/>
    </xf>
    <xf numFmtId="1" fontId="20" fillId="34" borderId="10" xfId="0" applyNumberFormat="1" applyFont="1" applyFill="1" applyBorder="1" applyAlignment="1">
      <alignment horizontal="right" indent="1"/>
    </xf>
    <xf numFmtId="0" fontId="0" fillId="0" borderId="10" xfId="0" applyBorder="1"/>
    <xf numFmtId="2" fontId="20" fillId="0" borderId="11" xfId="0" applyNumberFormat="1" applyFont="1" applyBorder="1" applyAlignment="1">
      <alignment horizontal="right" vertical="center" indent="1"/>
    </xf>
    <xf numFmtId="0" fontId="26" fillId="0" borderId="19" xfId="0" applyFont="1" applyBorder="1" applyAlignment="1">
      <alignment horizontal="right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/>
    </xf>
    <xf numFmtId="0" fontId="0" fillId="0" borderId="24" xfId="0" applyBorder="1" applyAlignment="1">
      <alignment horizontal="center"/>
    </xf>
    <xf numFmtId="4" fontId="20" fillId="0" borderId="10" xfId="0" applyNumberFormat="1" applyFont="1" applyBorder="1" applyAlignment="1">
      <alignment horizontal="right" indent="1"/>
    </xf>
    <xf numFmtId="0" fontId="20" fillId="0" borderId="9" xfId="0" applyFont="1" applyBorder="1" applyAlignment="1">
      <alignment horizontal="left" vertical="center"/>
    </xf>
    <xf numFmtId="1" fontId="20" fillId="0" borderId="16" xfId="0" applyNumberFormat="1" applyFont="1" applyBorder="1" applyAlignment="1">
      <alignment horizontal="right" vertical="center" indent="1"/>
    </xf>
    <xf numFmtId="0" fontId="18" fillId="0" borderId="10" xfId="0" applyFont="1" applyBorder="1" applyAlignment="1">
      <alignment horizontal="right" indent="1"/>
    </xf>
    <xf numFmtId="10" fontId="27" fillId="0" borderId="9" xfId="0" applyNumberFormat="1" applyFont="1" applyBorder="1"/>
    <xf numFmtId="0" fontId="0" fillId="0" borderId="9" xfId="0" applyBorder="1"/>
    <xf numFmtId="0" fontId="18" fillId="32" borderId="10" xfId="0" applyFont="1" applyFill="1" applyBorder="1" applyAlignment="1">
      <alignment horizontal="center" vertical="center"/>
    </xf>
    <xf numFmtId="2" fontId="20" fillId="32" borderId="10" xfId="0" applyNumberFormat="1" applyFont="1" applyFill="1" applyBorder="1" applyAlignment="1">
      <alignment horizontal="right" vertical="center" indent="1"/>
    </xf>
    <xf numFmtId="2" fontId="18" fillId="32" borderId="11" xfId="0" applyNumberFormat="1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right"/>
    </xf>
    <xf numFmtId="0" fontId="30" fillId="0" borderId="9" xfId="0" applyFont="1" applyBorder="1" applyAlignment="1">
      <alignment horizontal="center" vertical="center" wrapText="1"/>
    </xf>
    <xf numFmtId="0" fontId="0" fillId="0" borderId="11" xfId="0" applyBorder="1"/>
    <xf numFmtId="2" fontId="20" fillId="53" borderId="10" xfId="0" applyNumberFormat="1" applyFont="1" applyFill="1" applyBorder="1"/>
    <xf numFmtId="3" fontId="18" fillId="49" borderId="10" xfId="0" applyNumberFormat="1" applyFont="1" applyFill="1" applyBorder="1" applyAlignment="1">
      <alignment horizontal="right" indent="1"/>
    </xf>
    <xf numFmtId="0" fontId="20" fillId="53" borderId="11" xfId="0" applyFont="1" applyFill="1" applyBorder="1"/>
    <xf numFmtId="0" fontId="20" fillId="28" borderId="10" xfId="0" applyFont="1" applyFill="1" applyBorder="1" applyAlignment="1">
      <alignment horizontal="center"/>
    </xf>
    <xf numFmtId="1" fontId="18" fillId="49" borderId="10" xfId="0" applyNumberFormat="1" applyFont="1" applyFill="1" applyBorder="1" applyAlignment="1">
      <alignment horizontal="right" indent="1"/>
    </xf>
    <xf numFmtId="3" fontId="20" fillId="28" borderId="10" xfId="0" applyNumberFormat="1" applyFont="1" applyFill="1" applyBorder="1" applyAlignment="1">
      <alignment horizontal="right" vertical="center" indent="1"/>
    </xf>
    <xf numFmtId="0" fontId="20" fillId="54" borderId="9" xfId="0" applyFont="1" applyFill="1" applyBorder="1"/>
    <xf numFmtId="0" fontId="20" fillId="54" borderId="10" xfId="0" applyFont="1" applyFill="1" applyBorder="1"/>
    <xf numFmtId="2" fontId="20" fillId="54" borderId="10" xfId="0" applyNumberFormat="1" applyFont="1" applyFill="1" applyBorder="1" applyAlignment="1">
      <alignment horizontal="right" inden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2" fontId="20" fillId="0" borderId="0" xfId="0" applyNumberFormat="1" applyFont="1" applyAlignment="1">
      <alignment horizontal="right" indent="1"/>
    </xf>
    <xf numFmtId="0" fontId="21" fillId="0" borderId="9" xfId="0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2" fontId="20" fillId="29" borderId="10" xfId="0" applyNumberFormat="1" applyFont="1" applyFill="1" applyBorder="1" applyAlignment="1">
      <alignment horizontal="right" indent="1"/>
    </xf>
    <xf numFmtId="0" fontId="27" fillId="45" borderId="13" xfId="0" applyFont="1" applyFill="1" applyBorder="1" applyAlignment="1">
      <alignment vertical="center" wrapText="1"/>
    </xf>
    <xf numFmtId="0" fontId="27" fillId="45" borderId="14" xfId="0" applyFont="1" applyFill="1" applyBorder="1" applyAlignment="1">
      <alignment horizontal="center"/>
    </xf>
    <xf numFmtId="2" fontId="27" fillId="44" borderId="14" xfId="0" applyNumberFormat="1" applyFont="1" applyFill="1" applyBorder="1" applyAlignment="1">
      <alignment horizontal="right" indent="1"/>
    </xf>
    <xf numFmtId="0" fontId="20" fillId="39" borderId="9" xfId="0" applyFont="1" applyFill="1" applyBorder="1" applyAlignment="1">
      <alignment vertical="center"/>
    </xf>
    <xf numFmtId="2" fontId="20" fillId="39" borderId="10" xfId="0" applyNumberFormat="1" applyFont="1" applyFill="1" applyBorder="1" applyAlignment="1">
      <alignment horizontal="right" indent="1"/>
    </xf>
    <xf numFmtId="0" fontId="20" fillId="0" borderId="16" xfId="0" applyFont="1" applyBorder="1" applyAlignment="1">
      <alignment vertical="center"/>
    </xf>
    <xf numFmtId="9" fontId="20" fillId="0" borderId="16" xfId="0" applyNumberFormat="1" applyFont="1" applyBorder="1" applyAlignment="1">
      <alignment horizontal="center"/>
    </xf>
    <xf numFmtId="0" fontId="20" fillId="44" borderId="13" xfId="0" applyFont="1" applyFill="1" applyBorder="1" applyAlignment="1">
      <alignment vertical="center" wrapText="1"/>
    </xf>
    <xf numFmtId="0" fontId="20" fillId="44" borderId="14" xfId="0" applyFont="1" applyFill="1" applyBorder="1" applyAlignment="1">
      <alignment horizontal="center" vertical="center"/>
    </xf>
    <xf numFmtId="0" fontId="44" fillId="39" borderId="0" xfId="0" applyFont="1" applyFill="1" applyAlignment="1">
      <alignment horizontal="center"/>
    </xf>
    <xf numFmtId="0" fontId="20" fillId="0" borderId="14" xfId="0" applyFont="1" applyBorder="1" applyAlignment="1">
      <alignment horizontal="center"/>
    </xf>
    <xf numFmtId="2" fontId="20" fillId="0" borderId="14" xfId="0" applyNumberFormat="1" applyFont="1" applyBorder="1" applyAlignment="1">
      <alignment horizontal="right" indent="1"/>
    </xf>
    <xf numFmtId="2" fontId="20" fillId="0" borderId="14" xfId="0" applyNumberFormat="1" applyFont="1" applyBorder="1" applyAlignment="1">
      <alignment horizontal="right" vertical="center" indent="1"/>
    </xf>
    <xf numFmtId="0" fontId="20" fillId="0" borderId="15" xfId="0" applyFont="1" applyBorder="1"/>
    <xf numFmtId="10" fontId="27" fillId="0" borderId="14" xfId="0" applyNumberFormat="1" applyFont="1" applyBorder="1" applyAlignment="1">
      <alignment horizontal="center"/>
    </xf>
    <xf numFmtId="43" fontId="18" fillId="45" borderId="10" xfId="1349" applyFont="1" applyFill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18" fillId="29" borderId="10" xfId="0" applyFont="1" applyFill="1" applyBorder="1" applyAlignment="1">
      <alignment horizontal="left"/>
    </xf>
    <xf numFmtId="0" fontId="20" fillId="45" borderId="10" xfId="0" applyFont="1" applyFill="1" applyBorder="1" applyAlignment="1">
      <alignment horizontal="left"/>
    </xf>
    <xf numFmtId="0" fontId="18" fillId="6" borderId="10" xfId="0" applyFont="1" applyFill="1" applyBorder="1"/>
    <xf numFmtId="0" fontId="27" fillId="37" borderId="10" xfId="0" applyFont="1" applyFill="1" applyBorder="1"/>
    <xf numFmtId="0" fontId="20" fillId="44" borderId="10" xfId="0" applyFont="1" applyFill="1" applyBorder="1" applyAlignment="1">
      <alignment horizontal="left" vertical="center"/>
    </xf>
    <xf numFmtId="0" fontId="27" fillId="45" borderId="14" xfId="0" applyFont="1" applyFill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10" xfId="0" applyFont="1" applyBorder="1"/>
    <xf numFmtId="0" fontId="20" fillId="44" borderId="10" xfId="0" applyFont="1" applyFill="1" applyBorder="1"/>
    <xf numFmtId="0" fontId="18" fillId="52" borderId="10" xfId="0" applyFont="1" applyFill="1" applyBorder="1" applyAlignment="1">
      <alignment horizontal="left"/>
    </xf>
    <xf numFmtId="0" fontId="20" fillId="30" borderId="10" xfId="0" applyFont="1" applyFill="1" applyBorder="1"/>
    <xf numFmtId="0" fontId="20" fillId="26" borderId="10" xfId="0" applyFont="1" applyFill="1" applyBorder="1"/>
    <xf numFmtId="0" fontId="20" fillId="37" borderId="10" xfId="0" applyFont="1" applyFill="1" applyBorder="1"/>
    <xf numFmtId="0" fontId="20" fillId="31" borderId="10" xfId="0" applyFont="1" applyFill="1" applyBorder="1"/>
    <xf numFmtId="0" fontId="18" fillId="0" borderId="10" xfId="0" applyFont="1" applyBorder="1" applyAlignment="1">
      <alignment horizontal="left"/>
    </xf>
    <xf numFmtId="0" fontId="18" fillId="43" borderId="10" xfId="0" applyFont="1" applyFill="1" applyBorder="1"/>
    <xf numFmtId="0" fontId="18" fillId="49" borderId="10" xfId="0" applyFont="1" applyFill="1" applyBorder="1"/>
    <xf numFmtId="0" fontId="18" fillId="41" borderId="14" xfId="0" applyFont="1" applyFill="1" applyBorder="1" applyAlignment="1">
      <alignment horizontal="left" vertical="center"/>
    </xf>
    <xf numFmtId="0" fontId="18" fillId="42" borderId="16" xfId="0" applyFont="1" applyFill="1" applyBorder="1"/>
    <xf numFmtId="0" fontId="20" fillId="47" borderId="10" xfId="0" applyFont="1" applyFill="1" applyBorder="1" applyAlignment="1">
      <alignment vertical="center"/>
    </xf>
    <xf numFmtId="0" fontId="20" fillId="39" borderId="10" xfId="0" applyFont="1" applyFill="1" applyBorder="1"/>
    <xf numFmtId="0" fontId="20" fillId="0" borderId="14" xfId="0" applyFont="1" applyBorder="1" applyAlignment="1">
      <alignment horizontal="left"/>
    </xf>
    <xf numFmtId="0" fontId="20" fillId="37" borderId="16" xfId="0" applyFont="1" applyFill="1" applyBorder="1"/>
    <xf numFmtId="0" fontId="20" fillId="44" borderId="14" xfId="0" applyFont="1" applyFill="1" applyBorder="1" applyAlignment="1">
      <alignment horizontal="left" vertical="center"/>
    </xf>
    <xf numFmtId="0" fontId="20" fillId="45" borderId="10" xfId="0" applyFont="1" applyFill="1" applyBorder="1"/>
    <xf numFmtId="0" fontId="20" fillId="37" borderId="14" xfId="0" applyFont="1" applyFill="1" applyBorder="1"/>
    <xf numFmtId="0" fontId="28" fillId="0" borderId="16" xfId="0" applyFont="1" applyBorder="1" applyAlignment="1">
      <alignment horizontal="left"/>
    </xf>
    <xf numFmtId="0" fontId="28" fillId="45" borderId="10" xfId="0" applyFont="1" applyFill="1" applyBorder="1" applyAlignment="1">
      <alignment horizontal="left"/>
    </xf>
    <xf numFmtId="2" fontId="20" fillId="0" borderId="9" xfId="0" applyNumberFormat="1" applyFont="1" applyBorder="1" applyAlignment="1">
      <alignment horizontal="right" indent="1"/>
    </xf>
    <xf numFmtId="2" fontId="20" fillId="0" borderId="19" xfId="0" applyNumberFormat="1" applyFont="1" applyBorder="1" applyAlignment="1">
      <alignment horizontal="right" vertical="center" indent="1"/>
    </xf>
    <xf numFmtId="0" fontId="39" fillId="0" borderId="19" xfId="0" applyFont="1" applyBorder="1" applyAlignment="1">
      <alignment horizontal="center" vertical="center" wrapText="1"/>
    </xf>
    <xf numFmtId="180" fontId="39" fillId="0" borderId="19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right" indent="1"/>
    </xf>
    <xf numFmtId="0" fontId="21" fillId="0" borderId="1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0" fontId="21" fillId="31" borderId="9" xfId="0" applyFont="1" applyFill="1" applyBorder="1" applyAlignment="1">
      <alignment horizontal="center" vertical="center"/>
    </xf>
    <xf numFmtId="0" fontId="0" fillId="31" borderId="10" xfId="0" applyFill="1" applyBorder="1" applyAlignment="1">
      <alignment vertical="center"/>
    </xf>
    <xf numFmtId="0" fontId="45" fillId="31" borderId="10" xfId="0" applyFont="1" applyFill="1" applyBorder="1" applyAlignment="1">
      <alignment horizontal="right" vertical="center"/>
    </xf>
    <xf numFmtId="2" fontId="26" fillId="31" borderId="10" xfId="0" applyNumberFormat="1" applyFont="1" applyFill="1" applyBorder="1" applyAlignment="1">
      <alignment horizontal="right" vertical="center" indent="1"/>
    </xf>
    <xf numFmtId="0" fontId="26" fillId="31" borderId="10" xfId="0" applyFont="1" applyFill="1" applyBorder="1" applyAlignment="1">
      <alignment vertical="center"/>
    </xf>
    <xf numFmtId="2" fontId="26" fillId="0" borderId="19" xfId="0" applyNumberFormat="1" applyFont="1" applyBorder="1" applyAlignment="1">
      <alignment horizontal="right" vertical="center" indent="1"/>
    </xf>
    <xf numFmtId="2" fontId="26" fillId="0" borderId="10" xfId="0" applyNumberFormat="1" applyFont="1" applyBorder="1" applyAlignment="1">
      <alignment horizontal="center"/>
    </xf>
    <xf numFmtId="2" fontId="27" fillId="0" borderId="10" xfId="0" applyNumberFormat="1" applyFont="1" applyBorder="1"/>
    <xf numFmtId="0" fontId="0" fillId="0" borderId="19" xfId="0" applyBorder="1" applyAlignment="1">
      <alignment horizontal="center" vertical="center" wrapText="1"/>
    </xf>
    <xf numFmtId="2" fontId="45" fillId="0" borderId="9" xfId="0" applyNumberFormat="1" applyFont="1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0" fontId="21" fillId="0" borderId="9" xfId="0" applyFont="1" applyBorder="1" applyAlignment="1">
      <alignment horizontal="left" vertical="center"/>
    </xf>
    <xf numFmtId="0" fontId="30" fillId="0" borderId="10" xfId="0" applyFont="1" applyBorder="1" applyAlignment="1">
      <alignment vertical="center"/>
    </xf>
    <xf numFmtId="2" fontId="26" fillId="0" borderId="10" xfId="0" applyNumberFormat="1" applyFont="1" applyBorder="1" applyAlignment="1">
      <alignment horizontal="right" vertical="center" indent="1"/>
    </xf>
    <xf numFmtId="0" fontId="26" fillId="0" borderId="10" xfId="0" applyFont="1" applyBorder="1" applyAlignment="1">
      <alignment vertical="center"/>
    </xf>
    <xf numFmtId="0" fontId="26" fillId="0" borderId="19" xfId="0" applyFont="1" applyBorder="1"/>
    <xf numFmtId="0" fontId="18" fillId="0" borderId="19" xfId="0" applyFont="1" applyBorder="1" applyAlignment="1">
      <alignment horizontal="right" indent="1"/>
    </xf>
    <xf numFmtId="4" fontId="20" fillId="0" borderId="19" xfId="0" applyNumberFormat="1" applyFont="1" applyBorder="1" applyAlignment="1">
      <alignment horizontal="right" indent="1"/>
    </xf>
    <xf numFmtId="2" fontId="20" fillId="0" borderId="19" xfId="0" applyNumberFormat="1" applyFont="1" applyBorder="1" applyAlignment="1">
      <alignment horizontal="right" indent="1"/>
    </xf>
    <xf numFmtId="2" fontId="20" fillId="0" borderId="22" xfId="0" applyNumberFormat="1" applyFont="1" applyBorder="1" applyAlignment="1">
      <alignment horizontal="right" vertical="center" indent="1"/>
    </xf>
    <xf numFmtId="2" fontId="27" fillId="0" borderId="19" xfId="0" applyNumberFormat="1" applyFont="1" applyBorder="1" applyAlignment="1">
      <alignment horizontal="right" indent="1"/>
    </xf>
    <xf numFmtId="2" fontId="45" fillId="0" borderId="19" xfId="0" applyNumberFormat="1" applyFont="1" applyBorder="1" applyAlignment="1">
      <alignment horizontal="center" wrapText="1"/>
    </xf>
    <xf numFmtId="2" fontId="26" fillId="0" borderId="9" xfId="0" applyNumberFormat="1" applyFont="1" applyBorder="1" applyAlignment="1">
      <alignment horizontal="right" vertical="center" indent="1"/>
    </xf>
    <xf numFmtId="183" fontId="25" fillId="31" borderId="9" xfId="0" applyNumberFormat="1" applyFont="1" applyFill="1" applyBorder="1" applyAlignment="1">
      <alignment horizontal="center"/>
    </xf>
    <xf numFmtId="183" fontId="26" fillId="31" borderId="10" xfId="0" applyNumberFormat="1" applyFont="1" applyFill="1" applyBorder="1" applyAlignment="1">
      <alignment horizontal="center"/>
    </xf>
    <xf numFmtId="183" fontId="26" fillId="31" borderId="10" xfId="0" applyNumberFormat="1" applyFont="1" applyFill="1" applyBorder="1" applyAlignment="1">
      <alignment horizontal="left"/>
    </xf>
    <xf numFmtId="2" fontId="25" fillId="31" borderId="10" xfId="0" applyNumberFormat="1" applyFont="1" applyFill="1" applyBorder="1" applyAlignment="1">
      <alignment horizontal="right" indent="1"/>
    </xf>
    <xf numFmtId="183" fontId="25" fillId="31" borderId="10" xfId="0" applyNumberFormat="1" applyFont="1" applyFill="1" applyBorder="1"/>
    <xf numFmtId="2" fontId="47" fillId="0" borderId="9" xfId="0" applyNumberFormat="1" applyFont="1" applyBorder="1" applyAlignment="1">
      <alignment horizontal="left"/>
    </xf>
    <xf numFmtId="0" fontId="42" fillId="0" borderId="0" xfId="0" applyFont="1" applyAlignment="1">
      <alignment horizontal="right"/>
    </xf>
    <xf numFmtId="2" fontId="26" fillId="0" borderId="10" xfId="0" applyNumberFormat="1" applyFont="1" applyBorder="1" applyAlignment="1">
      <alignment horizontal="right" indent="1"/>
    </xf>
    <xf numFmtId="0" fontId="26" fillId="0" borderId="10" xfId="0" applyFont="1" applyBorder="1"/>
    <xf numFmtId="3" fontId="20" fillId="0" borderId="10" xfId="0" applyNumberFormat="1" applyFont="1" applyBorder="1" applyAlignment="1">
      <alignment horizontal="right" indent="1"/>
    </xf>
    <xf numFmtId="188" fontId="20" fillId="0" borderId="10" xfId="0" applyNumberFormat="1" applyFont="1" applyBorder="1"/>
    <xf numFmtId="188" fontId="20" fillId="0" borderId="10" xfId="0" applyNumberFormat="1" applyFont="1" applyBorder="1" applyAlignment="1">
      <alignment horizontal="right" indent="1"/>
    </xf>
    <xf numFmtId="2" fontId="0" fillId="0" borderId="9" xfId="0" applyNumberFormat="1" applyBorder="1" applyAlignment="1">
      <alignment horizontal="center" wrapText="1"/>
    </xf>
    <xf numFmtId="2" fontId="30" fillId="0" borderId="10" xfId="0" applyNumberFormat="1" applyFont="1" applyBorder="1" applyAlignment="1">
      <alignment horizontal="left"/>
    </xf>
    <xf numFmtId="2" fontId="25" fillId="0" borderId="10" xfId="0" applyNumberFormat="1" applyFont="1" applyBorder="1" applyAlignment="1">
      <alignment horizontal="right" indent="1"/>
    </xf>
    <xf numFmtId="0" fontId="25" fillId="0" borderId="10" xfId="0" applyFont="1" applyBorder="1"/>
    <xf numFmtId="2" fontId="20" fillId="0" borderId="17" xfId="0" applyNumberFormat="1" applyFont="1" applyBorder="1" applyAlignment="1">
      <alignment horizontal="right" vertical="center" indent="1"/>
    </xf>
    <xf numFmtId="3" fontId="20" fillId="0" borderId="9" xfId="0" applyNumberFormat="1" applyFont="1" applyBorder="1" applyAlignment="1">
      <alignment horizontal="right" indent="1"/>
    </xf>
    <xf numFmtId="2" fontId="26" fillId="0" borderId="9" xfId="0" applyNumberFormat="1" applyFont="1" applyBorder="1" applyAlignment="1">
      <alignment horizontal="right" indent="1"/>
    </xf>
    <xf numFmtId="188" fontId="20" fillId="0" borderId="9" xfId="0" applyNumberFormat="1" applyFont="1" applyBorder="1" applyAlignment="1">
      <alignment horizontal="right" indent="1"/>
    </xf>
    <xf numFmtId="2" fontId="20" fillId="0" borderId="17" xfId="0" applyNumberFormat="1" applyFont="1" applyBorder="1" applyAlignment="1">
      <alignment horizontal="right" indent="1"/>
    </xf>
    <xf numFmtId="0" fontId="18" fillId="0" borderId="9" xfId="0" applyFont="1" applyBorder="1" applyAlignment="1">
      <alignment horizontal="right" indent="1"/>
    </xf>
    <xf numFmtId="0" fontId="0" fillId="0" borderId="13" xfId="0" applyBorder="1"/>
    <xf numFmtId="0" fontId="18" fillId="0" borderId="20" xfId="0" applyFont="1" applyBorder="1" applyAlignment="1">
      <alignment horizontal="left"/>
    </xf>
    <xf numFmtId="0" fontId="18" fillId="0" borderId="20" xfId="0" applyFont="1" applyBorder="1"/>
    <xf numFmtId="0" fontId="39" fillId="0" borderId="22" xfId="0" applyFont="1" applyBorder="1" applyAlignment="1">
      <alignment horizontal="center" vertical="center" wrapText="1"/>
    </xf>
    <xf numFmtId="180" fontId="39" fillId="0" borderId="22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right" indent="1"/>
    </xf>
    <xf numFmtId="2" fontId="18" fillId="0" borderId="9" xfId="0" applyNumberFormat="1" applyFont="1" applyBorder="1" applyAlignment="1">
      <alignment horizontal="right" indent="1"/>
    </xf>
    <xf numFmtId="2" fontId="27" fillId="0" borderId="9" xfId="0" applyNumberFormat="1" applyFont="1" applyBorder="1" applyAlignment="1">
      <alignment horizontal="right" indent="1"/>
    </xf>
    <xf numFmtId="2" fontId="27" fillId="0" borderId="13" xfId="0" applyNumberFormat="1" applyFont="1" applyBorder="1" applyAlignment="1">
      <alignment horizontal="right" indent="1"/>
    </xf>
    <xf numFmtId="2" fontId="20" fillId="0" borderId="9" xfId="0" applyNumberFormat="1" applyFont="1" applyBorder="1" applyAlignment="1">
      <alignment horizontal="right" vertical="center" indent="1"/>
    </xf>
    <xf numFmtId="2" fontId="27" fillId="0" borderId="17" xfId="0" applyNumberFormat="1" applyFont="1" applyBorder="1" applyAlignment="1">
      <alignment horizontal="right" indent="1"/>
    </xf>
    <xf numFmtId="180" fontId="18" fillId="0" borderId="9" xfId="0" applyNumberFormat="1" applyFont="1" applyBorder="1" applyAlignment="1">
      <alignment horizontal="right" vertical="center" indent="1"/>
    </xf>
    <xf numFmtId="164" fontId="18" fillId="0" borderId="9" xfId="0" applyNumberFormat="1" applyFont="1" applyBorder="1" applyAlignment="1">
      <alignment horizontal="right" indent="1"/>
    </xf>
    <xf numFmtId="2" fontId="18" fillId="0" borderId="9" xfId="0" applyNumberFormat="1" applyFont="1" applyBorder="1" applyAlignment="1">
      <alignment horizontal="right" vertical="center" indent="1"/>
    </xf>
    <xf numFmtId="9" fontId="18" fillId="0" borderId="9" xfId="1" applyFont="1" applyBorder="1" applyAlignment="1">
      <alignment horizontal="right" indent="1"/>
    </xf>
    <xf numFmtId="2" fontId="20" fillId="0" borderId="13" xfId="0" applyNumberFormat="1" applyFont="1" applyBorder="1" applyAlignment="1">
      <alignment horizontal="right" indent="1"/>
    </xf>
    <xf numFmtId="2" fontId="20" fillId="0" borderId="12" xfId="0" applyNumberFormat="1" applyFont="1" applyBorder="1" applyAlignment="1">
      <alignment horizontal="right" indent="1"/>
    </xf>
    <xf numFmtId="180" fontId="20" fillId="0" borderId="9" xfId="0" applyNumberFormat="1" applyFont="1" applyBorder="1" applyAlignment="1">
      <alignment horizontal="right" vertical="center" indent="1"/>
    </xf>
    <xf numFmtId="10" fontId="20" fillId="0" borderId="9" xfId="0" applyNumberFormat="1" applyFont="1" applyBorder="1" applyAlignment="1">
      <alignment horizontal="right" indent="1"/>
    </xf>
    <xf numFmtId="9" fontId="20" fillId="0" borderId="9" xfId="0" applyNumberFormat="1" applyFont="1" applyBorder="1" applyAlignment="1">
      <alignment horizontal="right" indent="1"/>
    </xf>
    <xf numFmtId="180" fontId="20" fillId="0" borderId="9" xfId="0" applyNumberFormat="1" applyFont="1" applyBorder="1" applyAlignment="1">
      <alignment horizontal="right" indent="1"/>
    </xf>
    <xf numFmtId="0" fontId="20" fillId="0" borderId="10" xfId="0" applyFont="1" applyBorder="1" applyAlignment="1">
      <alignment horizontal="right" vertical="center" indent="1"/>
    </xf>
    <xf numFmtId="2" fontId="27" fillId="0" borderId="10" xfId="0" applyNumberFormat="1" applyFont="1" applyBorder="1" applyAlignment="1">
      <alignment horizontal="right" vertical="center" indent="1"/>
    </xf>
    <xf numFmtId="9" fontId="20" fillId="0" borderId="10" xfId="0" applyNumberFormat="1" applyFont="1" applyBorder="1" applyAlignment="1">
      <alignment horizontal="right" vertical="center" indent="1"/>
    </xf>
    <xf numFmtId="41" fontId="20" fillId="0" borderId="10" xfId="1349" applyNumberFormat="1" applyFont="1" applyFill="1" applyBorder="1" applyAlignment="1">
      <alignment horizontal="right" vertical="center" indent="1"/>
    </xf>
    <xf numFmtId="10" fontId="20" fillId="0" borderId="10" xfId="0" applyNumberFormat="1" applyFont="1" applyBorder="1" applyAlignment="1">
      <alignment horizontal="right" vertical="center" indent="1"/>
    </xf>
    <xf numFmtId="9" fontId="18" fillId="0" borderId="10" xfId="1" applyFont="1" applyBorder="1" applyAlignment="1">
      <alignment horizontal="right" indent="1"/>
    </xf>
    <xf numFmtId="182" fontId="27" fillId="0" borderId="16" xfId="1" applyNumberFormat="1" applyFont="1" applyBorder="1" applyAlignment="1">
      <alignment horizontal="right" indent="1"/>
    </xf>
    <xf numFmtId="4" fontId="20" fillId="0" borderId="10" xfId="0" applyNumberFormat="1" applyFont="1" applyBorder="1" applyAlignment="1">
      <alignment horizontal="right" vertical="center" indent="1"/>
    </xf>
    <xf numFmtId="3" fontId="18" fillId="0" borderId="10" xfId="0" applyNumberFormat="1" applyFont="1" applyBorder="1" applyAlignment="1">
      <alignment horizontal="right" indent="1"/>
    </xf>
    <xf numFmtId="1" fontId="18" fillId="0" borderId="10" xfId="0" applyNumberFormat="1" applyFont="1" applyBorder="1" applyAlignment="1">
      <alignment horizontal="right" indent="1"/>
    </xf>
    <xf numFmtId="180" fontId="20" fillId="0" borderId="10" xfId="0" applyNumberFormat="1" applyFont="1" applyBorder="1" applyAlignment="1">
      <alignment horizontal="right" vertical="center" indent="1"/>
    </xf>
    <xf numFmtId="3" fontId="20" fillId="0" borderId="19" xfId="0" applyNumberFormat="1" applyFont="1" applyBorder="1" applyAlignment="1">
      <alignment horizontal="right" indent="1"/>
    </xf>
    <xf numFmtId="188" fontId="20" fillId="0" borderId="19" xfId="0" applyNumberFormat="1" applyFont="1" applyBorder="1" applyAlignment="1">
      <alignment horizontal="right" indent="1"/>
    </xf>
    <xf numFmtId="1" fontId="20" fillId="0" borderId="22" xfId="0" applyNumberFormat="1" applyFont="1" applyBorder="1" applyAlignment="1">
      <alignment horizontal="right" vertical="center" indent="1"/>
    </xf>
    <xf numFmtId="2" fontId="20" fillId="0" borderId="22" xfId="0" applyNumberFormat="1" applyFont="1" applyBorder="1" applyAlignment="1">
      <alignment horizontal="right" indent="1"/>
    </xf>
    <xf numFmtId="0" fontId="20" fillId="23" borderId="10" xfId="0" applyFont="1" applyFill="1" applyBorder="1" applyAlignment="1">
      <alignment vertical="center"/>
    </xf>
    <xf numFmtId="0" fontId="20" fillId="28" borderId="10" xfId="0" applyFont="1" applyFill="1" applyBorder="1" applyAlignment="1">
      <alignment vertical="center"/>
    </xf>
    <xf numFmtId="0" fontId="18" fillId="44" borderId="10" xfId="0" applyFont="1" applyFill="1" applyBorder="1"/>
    <xf numFmtId="0" fontId="27" fillId="26" borderId="10" xfId="0" applyFont="1" applyFill="1" applyBorder="1" applyAlignment="1">
      <alignment horizontal="left" vertical="center"/>
    </xf>
    <xf numFmtId="0" fontId="27" fillId="28" borderId="10" xfId="0" applyFont="1" applyFill="1" applyBorder="1" applyAlignment="1">
      <alignment vertical="center"/>
    </xf>
    <xf numFmtId="0" fontId="20" fillId="48" borderId="10" xfId="0" applyFont="1" applyFill="1" applyBorder="1" applyAlignment="1">
      <alignment vertical="center"/>
    </xf>
    <xf numFmtId="0" fontId="20" fillId="30" borderId="10" xfId="0" applyFont="1" applyFill="1" applyBorder="1" applyAlignment="1">
      <alignment horizontal="left" vertical="center" wrapText="1"/>
    </xf>
    <xf numFmtId="0" fontId="18" fillId="25" borderId="10" xfId="0" applyFont="1" applyFill="1" applyBorder="1"/>
    <xf numFmtId="0" fontId="20" fillId="28" borderId="10" xfId="0" applyFont="1" applyFill="1" applyBorder="1"/>
    <xf numFmtId="0" fontId="20" fillId="24" borderId="10" xfId="0" applyFont="1" applyFill="1" applyBorder="1"/>
    <xf numFmtId="0" fontId="20" fillId="0" borderId="10" xfId="0" applyFont="1" applyBorder="1" applyAlignment="1">
      <alignment horizontal="left" vertical="center" wrapText="1"/>
    </xf>
    <xf numFmtId="0" fontId="18" fillId="0" borderId="1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6" xfId="0" applyFont="1" applyBorder="1" applyAlignment="1">
      <alignment vertical="center"/>
    </xf>
    <xf numFmtId="0" fontId="18" fillId="41" borderId="10" xfId="0" applyFont="1" applyFill="1" applyBorder="1"/>
    <xf numFmtId="0" fontId="20" fillId="42" borderId="10" xfId="0" applyFont="1" applyFill="1" applyBorder="1"/>
    <xf numFmtId="0" fontId="27" fillId="33" borderId="16" xfId="0" applyFont="1" applyFill="1" applyBorder="1"/>
    <xf numFmtId="1" fontId="18" fillId="27" borderId="10" xfId="0" applyNumberFormat="1" applyFont="1" applyFill="1" applyBorder="1"/>
    <xf numFmtId="0" fontId="27" fillId="0" borderId="14" xfId="0" applyFont="1" applyBorder="1" applyAlignment="1">
      <alignment horizontal="left" vertical="center" wrapText="1"/>
    </xf>
    <xf numFmtId="0" fontId="27" fillId="28" borderId="10" xfId="0" applyFont="1" applyFill="1" applyBorder="1"/>
    <xf numFmtId="0" fontId="20" fillId="50" borderId="10" xfId="0" applyFont="1" applyFill="1" applyBorder="1" applyAlignment="1">
      <alignment horizontal="left"/>
    </xf>
    <xf numFmtId="1" fontId="18" fillId="0" borderId="10" xfId="0" applyNumberFormat="1" applyFont="1" applyBorder="1"/>
    <xf numFmtId="0" fontId="20" fillId="51" borderId="10" xfId="0" applyFont="1" applyFill="1" applyBorder="1" applyAlignment="1">
      <alignment horizontal="left" vertical="center" wrapText="1"/>
    </xf>
    <xf numFmtId="0" fontId="18" fillId="46" borderId="10" xfId="0" applyFont="1" applyFill="1" applyBorder="1"/>
    <xf numFmtId="0" fontId="18" fillId="34" borderId="14" xfId="0" applyFont="1" applyFill="1" applyBorder="1"/>
    <xf numFmtId="0" fontId="18" fillId="34" borderId="16" xfId="0" applyFont="1" applyFill="1" applyBorder="1"/>
    <xf numFmtId="0" fontId="18" fillId="45" borderId="16" xfId="0" applyFont="1" applyFill="1" applyBorder="1"/>
    <xf numFmtId="0" fontId="18" fillId="0" borderId="16" xfId="0" applyFont="1" applyBorder="1"/>
    <xf numFmtId="0" fontId="20" fillId="53" borderId="10" xfId="0" applyFont="1" applyFill="1" applyBorder="1"/>
    <xf numFmtId="0" fontId="27" fillId="30" borderId="10" xfId="0" applyFont="1" applyFill="1" applyBorder="1" applyAlignment="1">
      <alignment horizontal="left" vertical="center" wrapText="1"/>
    </xf>
    <xf numFmtId="0" fontId="20" fillId="32" borderId="10" xfId="0" applyFont="1" applyFill="1" applyBorder="1" applyAlignment="1">
      <alignment vertical="center"/>
    </xf>
    <xf numFmtId="0" fontId="18" fillId="25" borderId="14" xfId="0" applyFont="1" applyFill="1" applyBorder="1"/>
    <xf numFmtId="0" fontId="18" fillId="25" borderId="16" xfId="0" applyFont="1" applyFill="1" applyBorder="1"/>
    <xf numFmtId="0" fontId="20" fillId="50" borderId="9" xfId="0" applyFont="1" applyFill="1" applyBorder="1"/>
    <xf numFmtId="0" fontId="20" fillId="50" borderId="10" xfId="0" applyFont="1" applyFill="1" applyBorder="1" applyAlignment="1">
      <alignment horizontal="center"/>
    </xf>
    <xf numFmtId="0" fontId="0" fillId="50" borderId="10" xfId="0" applyFill="1" applyBorder="1"/>
    <xf numFmtId="2" fontId="20" fillId="50" borderId="10" xfId="0" applyNumberFormat="1" applyFont="1" applyFill="1" applyBorder="1" applyAlignment="1">
      <alignment horizontal="right" indent="1"/>
    </xf>
    <xf numFmtId="0" fontId="20" fillId="50" borderId="10" xfId="0" applyFont="1" applyFill="1" applyBorder="1"/>
    <xf numFmtId="0" fontId="20" fillId="50" borderId="9" xfId="0" applyFont="1" applyFill="1" applyBorder="1" applyAlignment="1">
      <alignment horizontal="left"/>
    </xf>
    <xf numFmtId="0" fontId="20" fillId="50" borderId="9" xfId="0" applyFont="1" applyFill="1" applyBorder="1" applyAlignment="1">
      <alignment horizontal="left" vertical="center"/>
    </xf>
    <xf numFmtId="0" fontId="18" fillId="50" borderId="10" xfId="0" applyFont="1" applyFill="1" applyBorder="1" applyAlignment="1">
      <alignment horizontal="center" vertical="center"/>
    </xf>
    <xf numFmtId="2" fontId="20" fillId="50" borderId="16" xfId="0" applyNumberFormat="1" applyFont="1" applyFill="1" applyBorder="1" applyAlignment="1">
      <alignment horizontal="right" vertical="center" indent="1"/>
    </xf>
    <xf numFmtId="0" fontId="18" fillId="50" borderId="10" xfId="0" applyFont="1" applyFill="1" applyBorder="1"/>
    <xf numFmtId="0" fontId="18" fillId="50" borderId="9" xfId="0" applyFont="1" applyFill="1" applyBorder="1"/>
    <xf numFmtId="3" fontId="20" fillId="50" borderId="10" xfId="0" applyNumberFormat="1" applyFont="1" applyFill="1" applyBorder="1" applyAlignment="1">
      <alignment horizontal="right" indent="1"/>
    </xf>
    <xf numFmtId="188" fontId="20" fillId="50" borderId="10" xfId="0" applyNumberFormat="1" applyFont="1" applyFill="1" applyBorder="1"/>
    <xf numFmtId="0" fontId="20" fillId="50" borderId="9" xfId="0" applyFont="1" applyFill="1" applyBorder="1" applyAlignment="1">
      <alignment vertical="center" wrapText="1"/>
    </xf>
    <xf numFmtId="188" fontId="20" fillId="50" borderId="10" xfId="0" applyNumberFormat="1" applyFont="1" applyFill="1" applyBorder="1" applyAlignment="1">
      <alignment horizontal="right" indent="1"/>
    </xf>
    <xf numFmtId="1" fontId="20" fillId="50" borderId="16" xfId="0" applyNumberFormat="1" applyFont="1" applyFill="1" applyBorder="1" applyAlignment="1">
      <alignment horizontal="right" vertical="center" indent="1"/>
    </xf>
    <xf numFmtId="0" fontId="27" fillId="0" borderId="16" xfId="0" applyFont="1" applyBorder="1"/>
    <xf numFmtId="0" fontId="26" fillId="0" borderId="20" xfId="0" applyFont="1" applyBorder="1"/>
    <xf numFmtId="0" fontId="20" fillId="23" borderId="19" xfId="0" applyFont="1" applyFill="1" applyBorder="1"/>
    <xf numFmtId="0" fontId="20" fillId="25" borderId="19" xfId="0" applyFont="1" applyFill="1" applyBorder="1"/>
    <xf numFmtId="0" fontId="18" fillId="35" borderId="19" xfId="0" applyFont="1" applyFill="1" applyBorder="1"/>
    <xf numFmtId="0" fontId="26" fillId="0" borderId="24" xfId="0" applyFont="1" applyBorder="1"/>
    <xf numFmtId="0" fontId="27" fillId="31" borderId="19" xfId="0" applyFont="1" applyFill="1" applyBorder="1"/>
    <xf numFmtId="0" fontId="20" fillId="27" borderId="19" xfId="0" applyFont="1" applyFill="1" applyBorder="1"/>
    <xf numFmtId="0" fontId="20" fillId="34" borderId="19" xfId="0" applyFont="1" applyFill="1" applyBorder="1"/>
    <xf numFmtId="0" fontId="18" fillId="0" borderId="19" xfId="0" applyFont="1" applyBorder="1"/>
    <xf numFmtId="2" fontId="20" fillId="0" borderId="0" xfId="0" applyNumberFormat="1" applyFont="1" applyAlignment="1">
      <alignment horizontal="right" vertical="center" indent="1"/>
    </xf>
    <xf numFmtId="0" fontId="27" fillId="43" borderId="17" xfId="0" applyFont="1" applyFill="1" applyBorder="1"/>
    <xf numFmtId="0" fontId="27" fillId="43" borderId="16" xfId="0" applyFont="1" applyFill="1" applyBorder="1" applyAlignment="1">
      <alignment horizontal="center"/>
    </xf>
    <xf numFmtId="1" fontId="18" fillId="41" borderId="16" xfId="0" applyNumberFormat="1" applyFont="1" applyFill="1" applyBorder="1" applyAlignment="1">
      <alignment horizontal="right" vertical="center" indent="1"/>
    </xf>
    <xf numFmtId="0" fontId="20" fillId="43" borderId="18" xfId="0" applyFont="1" applyFill="1" applyBorder="1"/>
    <xf numFmtId="0" fontId="27" fillId="43" borderId="13" xfId="0" applyFont="1" applyFill="1" applyBorder="1"/>
    <xf numFmtId="0" fontId="27" fillId="43" borderId="14" xfId="0" applyFont="1" applyFill="1" applyBorder="1" applyAlignment="1">
      <alignment horizontal="center"/>
    </xf>
    <xf numFmtId="0" fontId="20" fillId="43" borderId="15" xfId="0" applyFont="1" applyFill="1" applyBorder="1"/>
    <xf numFmtId="2" fontId="18" fillId="41" borderId="14" xfId="0" applyNumberFormat="1" applyFont="1" applyFill="1" applyBorder="1" applyAlignment="1">
      <alignment horizontal="right" vertical="center" indent="1"/>
    </xf>
    <xf numFmtId="43" fontId="18" fillId="55" borderId="10" xfId="1349" applyFont="1" applyFill="1" applyBorder="1" applyAlignment="1">
      <alignment horizontal="center"/>
    </xf>
    <xf numFmtId="189" fontId="20" fillId="0" borderId="10" xfId="1349" applyNumberFormat="1" applyFont="1" applyFill="1" applyBorder="1" applyAlignment="1">
      <alignment horizontal="right" vertical="center" indent="1"/>
    </xf>
    <xf numFmtId="0" fontId="19" fillId="26" borderId="10" xfId="0" applyFont="1" applyFill="1" applyBorder="1" applyAlignment="1">
      <alignment horizontal="center" vertical="center"/>
    </xf>
    <xf numFmtId="3" fontId="20" fillId="0" borderId="19" xfId="0" applyNumberFormat="1" applyFont="1" applyBorder="1" applyAlignment="1">
      <alignment horizontal="right" vertical="center" indent="1"/>
    </xf>
    <xf numFmtId="1" fontId="20" fillId="43" borderId="10" xfId="0" applyNumberFormat="1" applyFont="1" applyFill="1" applyBorder="1" applyAlignment="1">
      <alignment horizontal="right" vertical="center" indent="1"/>
    </xf>
    <xf numFmtId="1" fontId="27" fillId="0" borderId="9" xfId="0" applyNumberFormat="1" applyFont="1" applyBorder="1" applyAlignment="1">
      <alignment horizontal="right" indent="1"/>
    </xf>
    <xf numFmtId="0" fontId="3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20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right" vertical="center"/>
    </xf>
    <xf numFmtId="0" fontId="29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right"/>
    </xf>
    <xf numFmtId="0" fontId="28" fillId="0" borderId="11" xfId="0" applyFont="1" applyBorder="1"/>
    <xf numFmtId="0" fontId="27" fillId="0" borderId="11" xfId="0" applyFont="1" applyBorder="1" applyAlignment="1">
      <alignment horizontal="right"/>
    </xf>
    <xf numFmtId="0" fontId="20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/>
    </xf>
    <xf numFmtId="0" fontId="28" fillId="0" borderId="11" xfId="0" applyFont="1" applyBorder="1" applyAlignment="1">
      <alignment horizontal="right" vertical="center"/>
    </xf>
    <xf numFmtId="0" fontId="29" fillId="0" borderId="22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0" fillId="28" borderId="9" xfId="0" applyFont="1" applyFill="1" applyBorder="1"/>
    <xf numFmtId="0" fontId="28" fillId="0" borderId="22" xfId="0" applyFont="1" applyBorder="1"/>
    <xf numFmtId="0" fontId="28" fillId="0" borderId="20" xfId="0" applyFont="1" applyBorder="1"/>
    <xf numFmtId="0" fontId="19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right" vertical="center"/>
    </xf>
    <xf numFmtId="0" fontId="20" fillId="0" borderId="15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7" fillId="0" borderId="10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27" fillId="0" borderId="10" xfId="0" applyFont="1" applyBorder="1" applyAlignment="1">
      <alignment horizontal="left"/>
    </xf>
    <xf numFmtId="0" fontId="39" fillId="0" borderId="24" xfId="0" applyFont="1" applyBorder="1" applyAlignment="1">
      <alignment horizontal="center" vertical="center" wrapText="1"/>
    </xf>
    <xf numFmtId="11" fontId="27" fillId="37" borderId="10" xfId="0" applyNumberFormat="1" applyFont="1" applyFill="1" applyBorder="1" applyAlignment="1">
      <alignment horizontal="right" indent="1"/>
    </xf>
    <xf numFmtId="0" fontId="26" fillId="0" borderId="10" xfId="0" applyFont="1" applyBorder="1" applyAlignment="1">
      <alignment horizontal="center"/>
    </xf>
    <xf numFmtId="180" fontId="20" fillId="0" borderId="16" xfId="0" applyNumberFormat="1" applyFont="1" applyBorder="1" applyAlignment="1">
      <alignment horizontal="right" vertical="center" indent="1"/>
    </xf>
    <xf numFmtId="180" fontId="27" fillId="0" borderId="10" xfId="0" applyNumberFormat="1" applyFont="1" applyBorder="1" applyAlignment="1">
      <alignment horizontal="right" indent="1"/>
    </xf>
    <xf numFmtId="2" fontId="45" fillId="0" borderId="9" xfId="0" applyNumberFormat="1" applyFont="1" applyBorder="1" applyAlignment="1">
      <alignment horizontal="right" wrapText="1"/>
    </xf>
    <xf numFmtId="180" fontId="0" fillId="0" borderId="9" xfId="0" applyNumberFormat="1" applyBorder="1" applyAlignment="1">
      <alignment horizontal="right"/>
    </xf>
    <xf numFmtId="0" fontId="26" fillId="0" borderId="2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2" fontId="20" fillId="0" borderId="16" xfId="0" applyNumberFormat="1" applyFont="1" applyBorder="1" applyAlignment="1">
      <alignment horizontal="center" vertical="center"/>
    </xf>
    <xf numFmtId="0" fontId="49" fillId="0" borderId="0" xfId="0" applyFont="1"/>
    <xf numFmtId="0" fontId="27" fillId="37" borderId="9" xfId="0" applyFont="1" applyFill="1" applyBorder="1" applyAlignment="1">
      <alignment vertical="center"/>
    </xf>
    <xf numFmtId="4" fontId="20" fillId="0" borderId="9" xfId="0" applyNumberFormat="1" applyFont="1" applyBorder="1" applyAlignment="1">
      <alignment horizontal="right" indent="1"/>
    </xf>
    <xf numFmtId="2" fontId="20" fillId="50" borderId="9" xfId="0" applyNumberFormat="1" applyFont="1" applyFill="1" applyBorder="1" applyAlignment="1">
      <alignment horizontal="right" indent="1"/>
    </xf>
    <xf numFmtId="1" fontId="20" fillId="0" borderId="17" xfId="0" applyNumberFormat="1" applyFont="1" applyBorder="1" applyAlignment="1">
      <alignment horizontal="right" vertical="center" indent="1"/>
    </xf>
    <xf numFmtId="11" fontId="27" fillId="37" borderId="9" xfId="0" applyNumberFormat="1" applyFont="1" applyFill="1" applyBorder="1" applyAlignment="1">
      <alignment horizontal="right" indent="1"/>
    </xf>
    <xf numFmtId="180" fontId="20" fillId="0" borderId="17" xfId="0" applyNumberFormat="1" applyFont="1" applyBorder="1" applyAlignment="1">
      <alignment horizontal="right" vertical="center" indent="1"/>
    </xf>
    <xf numFmtId="180" fontId="27" fillId="0" borderId="9" xfId="0" applyNumberFormat="1" applyFont="1" applyBorder="1" applyAlignment="1">
      <alignment horizontal="right" indent="1"/>
    </xf>
    <xf numFmtId="0" fontId="27" fillId="0" borderId="16" xfId="0" applyFont="1" applyBorder="1" applyAlignment="1">
      <alignment horizontal="left" vertical="center" wrapText="1"/>
    </xf>
    <xf numFmtId="9" fontId="50" fillId="0" borderId="0" xfId="1" applyFont="1" applyBorder="1" applyAlignment="1">
      <alignment horizontal="center" vertical="center"/>
    </xf>
    <xf numFmtId="0" fontId="27" fillId="0" borderId="18" xfId="0" applyFont="1" applyBorder="1" applyAlignment="1">
      <alignment vertical="center"/>
    </xf>
    <xf numFmtId="2" fontId="27" fillId="0" borderId="19" xfId="0" applyNumberFormat="1" applyFont="1" applyBorder="1" applyAlignment="1">
      <alignment horizontal="right" vertical="center" indent="1"/>
    </xf>
    <xf numFmtId="9" fontId="27" fillId="0" borderId="16" xfId="0" applyNumberFormat="1" applyFont="1" applyBorder="1" applyAlignment="1">
      <alignment horizontal="right" vertical="center"/>
    </xf>
    <xf numFmtId="0" fontId="20" fillId="26" borderId="13" xfId="0" applyFont="1" applyFill="1" applyBorder="1" applyAlignment="1">
      <alignment vertical="center"/>
    </xf>
    <xf numFmtId="0" fontId="20" fillId="26" borderId="14" xfId="0" applyFont="1" applyFill="1" applyBorder="1" applyAlignment="1">
      <alignment horizontal="center"/>
    </xf>
    <xf numFmtId="2" fontId="20" fillId="26" borderId="14" xfId="0" applyNumberFormat="1" applyFont="1" applyFill="1" applyBorder="1" applyAlignment="1">
      <alignment horizontal="right" indent="1"/>
    </xf>
    <xf numFmtId="0" fontId="20" fillId="26" borderId="14" xfId="0" applyFont="1" applyFill="1" applyBorder="1"/>
    <xf numFmtId="0" fontId="20" fillId="26" borderId="12" xfId="0" applyFont="1" applyFill="1" applyBorder="1" applyAlignment="1">
      <alignment vertical="center"/>
    </xf>
    <xf numFmtId="0" fontId="20" fillId="26" borderId="0" xfId="0" applyFont="1" applyFill="1" applyAlignment="1">
      <alignment horizontal="center"/>
    </xf>
    <xf numFmtId="2" fontId="20" fillId="26" borderId="0" xfId="0" applyNumberFormat="1" applyFont="1" applyFill="1" applyAlignment="1">
      <alignment horizontal="right" indent="1"/>
    </xf>
    <xf numFmtId="0" fontId="20" fillId="26" borderId="0" xfId="0" applyFont="1" applyFill="1"/>
    <xf numFmtId="9" fontId="20" fillId="26" borderId="10" xfId="0" applyNumberFormat="1" applyFont="1" applyFill="1" applyBorder="1" applyAlignment="1">
      <alignment horizontal="center"/>
    </xf>
    <xf numFmtId="0" fontId="20" fillId="32" borderId="10" xfId="0" applyFont="1" applyFill="1" applyBorder="1"/>
    <xf numFmtId="0" fontId="28" fillId="50" borderId="10" xfId="0" applyFont="1" applyFill="1" applyBorder="1" applyAlignment="1">
      <alignment horizontal="center"/>
    </xf>
    <xf numFmtId="0" fontId="20" fillId="56" borderId="10" xfId="0" applyFont="1" applyFill="1" applyBorder="1" applyAlignment="1">
      <alignment vertical="center" wrapText="1"/>
    </xf>
    <xf numFmtId="0" fontId="20" fillId="56" borderId="10" xfId="0" applyFont="1" applyFill="1" applyBorder="1" applyAlignment="1">
      <alignment horizontal="center" vertical="center"/>
    </xf>
    <xf numFmtId="2" fontId="20" fillId="56" borderId="10" xfId="0" applyNumberFormat="1" applyFont="1" applyFill="1" applyBorder="1" applyAlignment="1">
      <alignment horizontal="right" vertical="center" indent="1"/>
    </xf>
    <xf numFmtId="0" fontId="20" fillId="56" borderId="10" xfId="0" applyFont="1" applyFill="1" applyBorder="1" applyAlignment="1">
      <alignment horizontal="left" vertical="center"/>
    </xf>
    <xf numFmtId="0" fontId="18" fillId="57" borderId="10" xfId="0" applyFont="1" applyFill="1" applyBorder="1"/>
    <xf numFmtId="0" fontId="18" fillId="57" borderId="10" xfId="0" applyFont="1" applyFill="1" applyBorder="1" applyAlignment="1">
      <alignment horizontal="center"/>
    </xf>
    <xf numFmtId="1" fontId="20" fillId="57" borderId="10" xfId="0" applyNumberFormat="1" applyFont="1" applyFill="1" applyBorder="1" applyAlignment="1">
      <alignment horizontal="right" indent="1"/>
    </xf>
    <xf numFmtId="0" fontId="18" fillId="57" borderId="10" xfId="0" applyFont="1" applyFill="1" applyBorder="1" applyAlignment="1">
      <alignment horizontal="left"/>
    </xf>
    <xf numFmtId="0" fontId="27" fillId="26" borderId="9" xfId="0" applyFont="1" applyFill="1" applyBorder="1" applyAlignment="1">
      <alignment horizontal="left"/>
    </xf>
    <xf numFmtId="0" fontId="27" fillId="26" borderId="10" xfId="0" applyFont="1" applyFill="1" applyBorder="1" applyAlignment="1">
      <alignment horizontal="center"/>
    </xf>
    <xf numFmtId="0" fontId="27" fillId="26" borderId="10" xfId="0" applyFont="1" applyFill="1" applyBorder="1" applyAlignment="1">
      <alignment horizontal="left"/>
    </xf>
    <xf numFmtId="3" fontId="20" fillId="52" borderId="10" xfId="0" applyNumberFormat="1" applyFont="1" applyFill="1" applyBorder="1" applyAlignment="1">
      <alignment horizontal="right" indent="1"/>
    </xf>
    <xf numFmtId="1" fontId="20" fillId="52" borderId="10" xfId="0" applyNumberFormat="1" applyFont="1" applyFill="1" applyBorder="1" applyAlignment="1">
      <alignment horizontal="right" indent="1"/>
    </xf>
    <xf numFmtId="1" fontId="20" fillId="0" borderId="19" xfId="0" applyNumberFormat="1" applyFont="1" applyBorder="1" applyAlignment="1">
      <alignment horizontal="right" indent="1"/>
    </xf>
    <xf numFmtId="2" fontId="20" fillId="30" borderId="16" xfId="0" applyNumberFormat="1" applyFont="1" applyFill="1" applyBorder="1" applyAlignment="1">
      <alignment horizontal="right" vertical="center" indent="1"/>
    </xf>
    <xf numFmtId="186" fontId="27" fillId="33" borderId="16" xfId="0" applyNumberFormat="1" applyFont="1" applyFill="1" applyBorder="1"/>
    <xf numFmtId="0" fontId="20" fillId="30" borderId="14" xfId="0" applyFont="1" applyFill="1" applyBorder="1" applyAlignment="1">
      <alignment horizontal="left" vertical="center" wrapText="1"/>
    </xf>
    <xf numFmtId="2" fontId="20" fillId="30" borderId="14" xfId="0" applyNumberFormat="1" applyFont="1" applyFill="1" applyBorder="1" applyAlignment="1">
      <alignment horizontal="right" vertical="center" indent="1"/>
    </xf>
    <xf numFmtId="0" fontId="20" fillId="30" borderId="15" xfId="0" applyFont="1" applyFill="1" applyBorder="1"/>
    <xf numFmtId="0" fontId="20" fillId="30" borderId="17" xfId="0" applyFont="1" applyFill="1" applyBorder="1" applyAlignment="1">
      <alignment horizontal="left" vertical="center" wrapText="1"/>
    </xf>
    <xf numFmtId="0" fontId="20" fillId="30" borderId="18" xfId="0" applyFont="1" applyFill="1" applyBorder="1"/>
    <xf numFmtId="1" fontId="20" fillId="0" borderId="19" xfId="0" applyNumberFormat="1" applyFont="1" applyBorder="1" applyAlignment="1">
      <alignment horizontal="right" vertical="center" indent="1"/>
    </xf>
    <xf numFmtId="10" fontId="27" fillId="26" borderId="10" xfId="1" applyNumberFormat="1" applyFont="1" applyFill="1" applyBorder="1" applyAlignment="1">
      <alignment horizontal="center"/>
    </xf>
    <xf numFmtId="1" fontId="27" fillId="28" borderId="10" xfId="0" applyNumberFormat="1" applyFont="1" applyFill="1" applyBorder="1" applyAlignment="1">
      <alignment horizontal="right" vertical="center" indent="1"/>
    </xf>
    <xf numFmtId="9" fontId="27" fillId="28" borderId="10" xfId="0" applyNumberFormat="1" applyFont="1" applyFill="1" applyBorder="1" applyAlignment="1">
      <alignment horizontal="right" vertical="center" indent="1"/>
    </xf>
    <xf numFmtId="0" fontId="20" fillId="50" borderId="11" xfId="0" applyFont="1" applyFill="1" applyBorder="1"/>
    <xf numFmtId="2" fontId="27" fillId="0" borderId="22" xfId="0" applyNumberFormat="1" applyFont="1" applyBorder="1" applyAlignment="1">
      <alignment horizontal="right" indent="1"/>
    </xf>
    <xf numFmtId="0" fontId="19" fillId="0" borderId="10" xfId="0" applyFont="1" applyBorder="1" applyAlignment="1">
      <alignment horizontal="right" vertical="center"/>
    </xf>
    <xf numFmtId="0" fontId="20" fillId="50" borderId="10" xfId="0" applyFont="1" applyFill="1" applyBorder="1" applyAlignment="1">
      <alignment horizontal="center" wrapText="1"/>
    </xf>
    <xf numFmtId="0" fontId="18" fillId="44" borderId="9" xfId="0" applyFont="1" applyFill="1" applyBorder="1"/>
    <xf numFmtId="182" fontId="18" fillId="0" borderId="10" xfId="1" applyNumberFormat="1" applyFont="1" applyBorder="1" applyAlignment="1">
      <alignment horizontal="right" indent="1"/>
    </xf>
    <xf numFmtId="180" fontId="18" fillId="0" borderId="19" xfId="0" applyNumberFormat="1" applyFont="1" applyBorder="1" applyAlignment="1">
      <alignment horizontal="right" indent="1"/>
    </xf>
    <xf numFmtId="164" fontId="18" fillId="0" borderId="19" xfId="0" applyNumberFormat="1" applyFont="1" applyBorder="1" applyAlignment="1">
      <alignment horizontal="right" indent="1"/>
    </xf>
    <xf numFmtId="2" fontId="20" fillId="50" borderId="10" xfId="0" applyNumberFormat="1" applyFont="1" applyFill="1" applyBorder="1" applyAlignment="1">
      <alignment horizontal="right" vertical="center" indent="1"/>
    </xf>
    <xf numFmtId="0" fontId="18" fillId="0" borderId="16" xfId="0" applyFont="1" applyBorder="1" applyAlignment="1">
      <alignment horizontal="right" indent="1"/>
    </xf>
    <xf numFmtId="0" fontId="20" fillId="23" borderId="11" xfId="0" applyFont="1" applyFill="1" applyBorder="1"/>
    <xf numFmtId="0" fontId="20" fillId="25" borderId="11" xfId="0" applyFont="1" applyFill="1" applyBorder="1"/>
    <xf numFmtId="0" fontId="26" fillId="0" borderId="12" xfId="0" applyFont="1" applyBorder="1"/>
    <xf numFmtId="0" fontId="26" fillId="0" borderId="21" xfId="0" applyFont="1" applyBorder="1"/>
    <xf numFmtId="0" fontId="27" fillId="31" borderId="11" xfId="0" applyFont="1" applyFill="1" applyBorder="1"/>
    <xf numFmtId="0" fontId="20" fillId="27" borderId="11" xfId="0" applyFont="1" applyFill="1" applyBorder="1"/>
    <xf numFmtId="0" fontId="20" fillId="34" borderId="11" xfId="0" applyFont="1" applyFill="1" applyBorder="1"/>
    <xf numFmtId="0" fontId="39" fillId="0" borderId="13" xfId="0" applyFont="1" applyBorder="1" applyAlignment="1">
      <alignment horizontal="center" vertical="center" wrapText="1"/>
    </xf>
    <xf numFmtId="180" fontId="39" fillId="0" borderId="15" xfId="0" applyNumberFormat="1" applyFont="1" applyBorder="1" applyAlignment="1">
      <alignment horizontal="center" vertical="center" wrapText="1"/>
    </xf>
    <xf numFmtId="0" fontId="28" fillId="0" borderId="18" xfId="0" applyFont="1" applyBorder="1"/>
    <xf numFmtId="0" fontId="19" fillId="0" borderId="19" xfId="0" applyFont="1" applyBorder="1" applyAlignment="1">
      <alignment horizontal="right" vertical="center"/>
    </xf>
    <xf numFmtId="0" fontId="28" fillId="0" borderId="19" xfId="0" applyFont="1" applyBorder="1" applyAlignment="1">
      <alignment horizontal="right"/>
    </xf>
    <xf numFmtId="1" fontId="18" fillId="0" borderId="9" xfId="0" applyNumberFormat="1" applyFont="1" applyBorder="1" applyAlignment="1">
      <alignment horizontal="right" vertical="center" indent="1"/>
    </xf>
    <xf numFmtId="2" fontId="18" fillId="0" borderId="17" xfId="0" applyNumberFormat="1" applyFont="1" applyBorder="1" applyAlignment="1">
      <alignment horizontal="right" vertical="center" indent="1"/>
    </xf>
    <xf numFmtId="0" fontId="20" fillId="35" borderId="10" xfId="0" applyFont="1" applyFill="1" applyBorder="1"/>
    <xf numFmtId="1" fontId="20" fillId="27" borderId="10" xfId="0" applyNumberFormat="1" applyFont="1" applyFill="1" applyBorder="1"/>
    <xf numFmtId="0" fontId="18" fillId="27" borderId="10" xfId="0" applyFont="1" applyFill="1" applyBorder="1"/>
    <xf numFmtId="0" fontId="18" fillId="35" borderId="10" xfId="0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right" indent="1"/>
    </xf>
    <xf numFmtId="2" fontId="18" fillId="0" borderId="19" xfId="0" applyNumberFormat="1" applyFont="1" applyBorder="1" applyAlignment="1">
      <alignment horizontal="right" indent="1"/>
    </xf>
    <xf numFmtId="1" fontId="18" fillId="58" borderId="10" xfId="0" applyNumberFormat="1" applyFont="1" applyFill="1" applyBorder="1" applyAlignment="1">
      <alignment vertical="center"/>
    </xf>
    <xf numFmtId="0" fontId="29" fillId="33" borderId="10" xfId="0" applyFont="1" applyFill="1" applyBorder="1" applyAlignment="1">
      <alignment horizontal="center" vertical="center"/>
    </xf>
    <xf numFmtId="2" fontId="20" fillId="58" borderId="10" xfId="0" applyNumberFormat="1" applyFont="1" applyFill="1" applyBorder="1" applyAlignment="1">
      <alignment horizontal="right" vertical="center" indent="1"/>
    </xf>
    <xf numFmtId="0" fontId="18" fillId="58" borderId="10" xfId="0" applyFont="1" applyFill="1" applyBorder="1" applyAlignment="1">
      <alignment vertical="center"/>
    </xf>
    <xf numFmtId="186" fontId="27" fillId="0" borderId="9" xfId="0" applyNumberFormat="1" applyFont="1" applyBorder="1"/>
    <xf numFmtId="1" fontId="18" fillId="49" borderId="14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right" vertical="center" indent="1"/>
    </xf>
    <xf numFmtId="0" fontId="18" fillId="49" borderId="14" xfId="0" applyFont="1" applyFill="1" applyBorder="1" applyAlignment="1">
      <alignment vertical="center"/>
    </xf>
    <xf numFmtId="2" fontId="18" fillId="0" borderId="19" xfId="0" applyNumberFormat="1" applyFont="1" applyBorder="1" applyAlignment="1">
      <alignment horizontal="right" vertical="center" indent="1"/>
    </xf>
    <xf numFmtId="1" fontId="19" fillId="27" borderId="10" xfId="0" applyNumberFormat="1" applyFont="1" applyFill="1" applyBorder="1" applyAlignment="1">
      <alignment horizontal="center"/>
    </xf>
    <xf numFmtId="0" fontId="18" fillId="49" borderId="14" xfId="0" applyFont="1" applyFill="1" applyBorder="1" applyAlignment="1">
      <alignment vertical="center" wrapText="1"/>
    </xf>
    <xf numFmtId="0" fontId="18" fillId="59" borderId="10" xfId="0" applyFont="1" applyFill="1" applyBorder="1"/>
    <xf numFmtId="1" fontId="19" fillId="59" borderId="10" xfId="0" applyNumberFormat="1" applyFont="1" applyFill="1" applyBorder="1" applyAlignment="1">
      <alignment horizontal="center"/>
    </xf>
    <xf numFmtId="2" fontId="18" fillId="59" borderId="10" xfId="0" applyNumberFormat="1" applyFont="1" applyFill="1" applyBorder="1" applyAlignment="1">
      <alignment horizontal="right" vertical="center" indent="1"/>
    </xf>
    <xf numFmtId="0" fontId="28" fillId="0" borderId="14" xfId="0" applyFont="1" applyBorder="1"/>
    <xf numFmtId="0" fontId="21" fillId="0" borderId="0" xfId="0" applyFont="1" applyAlignment="1">
      <alignment horizontal="center"/>
    </xf>
    <xf numFmtId="0" fontId="20" fillId="41" borderId="13" xfId="0" applyFont="1" applyFill="1" applyBorder="1" applyAlignment="1">
      <alignment horizontal="left" vertical="center"/>
    </xf>
    <xf numFmtId="0" fontId="20" fillId="41" borderId="17" xfId="0" applyFont="1" applyFill="1" applyBorder="1" applyAlignment="1">
      <alignment horizontal="left" vertical="center"/>
    </xf>
    <xf numFmtId="0" fontId="20" fillId="0" borderId="0" xfId="0" quotePrefix="1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/>
    <xf numFmtId="0" fontId="30" fillId="0" borderId="0" xfId="0" applyFont="1" applyAlignment="1">
      <alignment horizontal="center"/>
    </xf>
    <xf numFmtId="0" fontId="18" fillId="44" borderId="14" xfId="0" applyFont="1" applyFill="1" applyBorder="1" applyAlignment="1">
      <alignment vertical="center"/>
    </xf>
    <xf numFmtId="0" fontId="0" fillId="45" borderId="16" xfId="0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0" fillId="0" borderId="20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0" fontId="18" fillId="44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26" fillId="31" borderId="9" xfId="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6" fillId="31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350">
    <cellStyle name="=C:\WINNT35\SYSTEM32\COMMAND.COM" xfId="469" xr:uid="{00000000-0005-0000-0000-0000D8010000}"/>
    <cellStyle name="20% - Accent1" xfId="3" xr:uid="{00000000-0005-0000-0000-000006000000}"/>
    <cellStyle name="20% - Accent1 10" xfId="4" xr:uid="{00000000-0005-0000-0000-000007000000}"/>
    <cellStyle name="20% - Accent1 11" xfId="5" xr:uid="{00000000-0005-0000-0000-000008000000}"/>
    <cellStyle name="20% - Accent1 12" xfId="6" xr:uid="{00000000-0005-0000-0000-000009000000}"/>
    <cellStyle name="20% - Accent1 13" xfId="7" xr:uid="{00000000-0005-0000-0000-00000A000000}"/>
    <cellStyle name="20% - Accent1 14" xfId="8" xr:uid="{00000000-0005-0000-0000-00000B000000}"/>
    <cellStyle name="20% - Accent1 15" xfId="9" xr:uid="{00000000-0005-0000-0000-00000C000000}"/>
    <cellStyle name="20% - Accent1 16" xfId="10" xr:uid="{00000000-0005-0000-0000-00000D000000}"/>
    <cellStyle name="20% - Accent1 17" xfId="11" xr:uid="{00000000-0005-0000-0000-00000E000000}"/>
    <cellStyle name="20% - Accent1 18" xfId="12" xr:uid="{00000000-0005-0000-0000-00000F000000}"/>
    <cellStyle name="20% - Accent1 19" xfId="13" xr:uid="{00000000-0005-0000-0000-000010000000}"/>
    <cellStyle name="20% - Accent1 2" xfId="14" xr:uid="{00000000-0005-0000-0000-000011000000}"/>
    <cellStyle name="20% - Accent1 20" xfId="15" xr:uid="{00000000-0005-0000-0000-000012000000}"/>
    <cellStyle name="20% - Accent1 21" xfId="16" xr:uid="{00000000-0005-0000-0000-000013000000}"/>
    <cellStyle name="20% - Accent1 22" xfId="17" xr:uid="{00000000-0005-0000-0000-000014000000}"/>
    <cellStyle name="20% - Accent1 23" xfId="18" xr:uid="{00000000-0005-0000-0000-000015000000}"/>
    <cellStyle name="20% - Accent1 24" xfId="19" xr:uid="{00000000-0005-0000-0000-000016000000}"/>
    <cellStyle name="20% - Accent1 25" xfId="20" xr:uid="{00000000-0005-0000-0000-000017000000}"/>
    <cellStyle name="20% - Accent1 26" xfId="21" xr:uid="{00000000-0005-0000-0000-000018000000}"/>
    <cellStyle name="20% - Accent1 27" xfId="22" xr:uid="{00000000-0005-0000-0000-000019000000}"/>
    <cellStyle name="20% - Accent1 28" xfId="23" xr:uid="{00000000-0005-0000-0000-00001A000000}"/>
    <cellStyle name="20% - Accent1 29" xfId="24" xr:uid="{00000000-0005-0000-0000-00001B000000}"/>
    <cellStyle name="20% - Accent1 3" xfId="25" xr:uid="{00000000-0005-0000-0000-00001C000000}"/>
    <cellStyle name="20% - Accent1 4" xfId="26" xr:uid="{00000000-0005-0000-0000-00001D000000}"/>
    <cellStyle name="20% - Accent1 5" xfId="27" xr:uid="{00000000-0005-0000-0000-00001E000000}"/>
    <cellStyle name="20% - Accent1 6" xfId="28" xr:uid="{00000000-0005-0000-0000-00001F000000}"/>
    <cellStyle name="20% - Accent1 7" xfId="29" xr:uid="{00000000-0005-0000-0000-000020000000}"/>
    <cellStyle name="20% - Accent1 8" xfId="30" xr:uid="{00000000-0005-0000-0000-000021000000}"/>
    <cellStyle name="20% - Accent1 9" xfId="31" xr:uid="{00000000-0005-0000-0000-000022000000}"/>
    <cellStyle name="20% - Accent2" xfId="32" xr:uid="{00000000-0005-0000-0000-000023000000}"/>
    <cellStyle name="20% - Accent2 10" xfId="33" xr:uid="{00000000-0005-0000-0000-000024000000}"/>
    <cellStyle name="20% - Accent2 11" xfId="34" xr:uid="{00000000-0005-0000-0000-000025000000}"/>
    <cellStyle name="20% - Accent2 12" xfId="35" xr:uid="{00000000-0005-0000-0000-000026000000}"/>
    <cellStyle name="20% - Accent2 13" xfId="36" xr:uid="{00000000-0005-0000-0000-000027000000}"/>
    <cellStyle name="20% - Accent2 14" xfId="37" xr:uid="{00000000-0005-0000-0000-000028000000}"/>
    <cellStyle name="20% - Accent2 15" xfId="38" xr:uid="{00000000-0005-0000-0000-000029000000}"/>
    <cellStyle name="20% - Accent2 16" xfId="39" xr:uid="{00000000-0005-0000-0000-00002A000000}"/>
    <cellStyle name="20% - Accent2 17" xfId="40" xr:uid="{00000000-0005-0000-0000-00002B000000}"/>
    <cellStyle name="20% - Accent2 18" xfId="41" xr:uid="{00000000-0005-0000-0000-00002C000000}"/>
    <cellStyle name="20% - Accent2 19" xfId="42" xr:uid="{00000000-0005-0000-0000-00002D000000}"/>
    <cellStyle name="20% - Accent2 2" xfId="43" xr:uid="{00000000-0005-0000-0000-00002E000000}"/>
    <cellStyle name="20% - Accent2 20" xfId="44" xr:uid="{00000000-0005-0000-0000-00002F000000}"/>
    <cellStyle name="20% - Accent2 21" xfId="45" xr:uid="{00000000-0005-0000-0000-000030000000}"/>
    <cellStyle name="20% - Accent2 22" xfId="46" xr:uid="{00000000-0005-0000-0000-000031000000}"/>
    <cellStyle name="20% - Accent2 23" xfId="47" xr:uid="{00000000-0005-0000-0000-000032000000}"/>
    <cellStyle name="20% - Accent2 24" xfId="48" xr:uid="{00000000-0005-0000-0000-000033000000}"/>
    <cellStyle name="20% - Accent2 25" xfId="49" xr:uid="{00000000-0005-0000-0000-000034000000}"/>
    <cellStyle name="20% - Accent2 26" xfId="50" xr:uid="{00000000-0005-0000-0000-000035000000}"/>
    <cellStyle name="20% - Accent2 27" xfId="51" xr:uid="{00000000-0005-0000-0000-000036000000}"/>
    <cellStyle name="20% - Accent2 28" xfId="52" xr:uid="{00000000-0005-0000-0000-000037000000}"/>
    <cellStyle name="20% - Accent2 29" xfId="53" xr:uid="{00000000-0005-0000-0000-000038000000}"/>
    <cellStyle name="20% - Accent2 3" xfId="54" xr:uid="{00000000-0005-0000-0000-000039000000}"/>
    <cellStyle name="20% - Accent2 4" xfId="55" xr:uid="{00000000-0005-0000-0000-00003A000000}"/>
    <cellStyle name="20% - Accent2 5" xfId="56" xr:uid="{00000000-0005-0000-0000-00003B000000}"/>
    <cellStyle name="20% - Accent2 6" xfId="57" xr:uid="{00000000-0005-0000-0000-00003C000000}"/>
    <cellStyle name="20% - Accent2 7" xfId="58" xr:uid="{00000000-0005-0000-0000-00003D000000}"/>
    <cellStyle name="20% - Accent2 8" xfId="59" xr:uid="{00000000-0005-0000-0000-00003E000000}"/>
    <cellStyle name="20% - Accent2 9" xfId="60" xr:uid="{00000000-0005-0000-0000-00003F000000}"/>
    <cellStyle name="20% - Accent3" xfId="61" xr:uid="{00000000-0005-0000-0000-000040000000}"/>
    <cellStyle name="20% - Accent3 10" xfId="62" xr:uid="{00000000-0005-0000-0000-000041000000}"/>
    <cellStyle name="20% - Accent3 11" xfId="63" xr:uid="{00000000-0005-0000-0000-000042000000}"/>
    <cellStyle name="20% - Accent3 12" xfId="64" xr:uid="{00000000-0005-0000-0000-000043000000}"/>
    <cellStyle name="20% - Accent3 13" xfId="65" xr:uid="{00000000-0005-0000-0000-000044000000}"/>
    <cellStyle name="20% - Accent3 14" xfId="66" xr:uid="{00000000-0005-0000-0000-000045000000}"/>
    <cellStyle name="20% - Accent3 15" xfId="67" xr:uid="{00000000-0005-0000-0000-000046000000}"/>
    <cellStyle name="20% - Accent3 16" xfId="68" xr:uid="{00000000-0005-0000-0000-000047000000}"/>
    <cellStyle name="20% - Accent3 17" xfId="69" xr:uid="{00000000-0005-0000-0000-000048000000}"/>
    <cellStyle name="20% - Accent3 18" xfId="70" xr:uid="{00000000-0005-0000-0000-000049000000}"/>
    <cellStyle name="20% - Accent3 19" xfId="71" xr:uid="{00000000-0005-0000-0000-00004A000000}"/>
    <cellStyle name="20% - Accent3 2" xfId="72" xr:uid="{00000000-0005-0000-0000-00004B000000}"/>
    <cellStyle name="20% - Accent3 20" xfId="73" xr:uid="{00000000-0005-0000-0000-00004C000000}"/>
    <cellStyle name="20% - Accent3 21" xfId="74" xr:uid="{00000000-0005-0000-0000-00004D000000}"/>
    <cellStyle name="20% - Accent3 22" xfId="75" xr:uid="{00000000-0005-0000-0000-00004E000000}"/>
    <cellStyle name="20% - Accent3 23" xfId="76" xr:uid="{00000000-0005-0000-0000-00004F000000}"/>
    <cellStyle name="20% - Accent3 24" xfId="77" xr:uid="{00000000-0005-0000-0000-000050000000}"/>
    <cellStyle name="20% - Accent3 25" xfId="78" xr:uid="{00000000-0005-0000-0000-000051000000}"/>
    <cellStyle name="20% - Accent3 26" xfId="79" xr:uid="{00000000-0005-0000-0000-000052000000}"/>
    <cellStyle name="20% - Accent3 27" xfId="80" xr:uid="{00000000-0005-0000-0000-000053000000}"/>
    <cellStyle name="20% - Accent3 28" xfId="81" xr:uid="{00000000-0005-0000-0000-000054000000}"/>
    <cellStyle name="20% - Accent3 29" xfId="82" xr:uid="{00000000-0005-0000-0000-000055000000}"/>
    <cellStyle name="20% - Accent3 3" xfId="83" xr:uid="{00000000-0005-0000-0000-000056000000}"/>
    <cellStyle name="20% - Accent3 4" xfId="84" xr:uid="{00000000-0005-0000-0000-000057000000}"/>
    <cellStyle name="20% - Accent3 5" xfId="85" xr:uid="{00000000-0005-0000-0000-000058000000}"/>
    <cellStyle name="20% - Accent3 6" xfId="86" xr:uid="{00000000-0005-0000-0000-000059000000}"/>
    <cellStyle name="20% - Accent3 7" xfId="87" xr:uid="{00000000-0005-0000-0000-00005A000000}"/>
    <cellStyle name="20% - Accent3 8" xfId="88" xr:uid="{00000000-0005-0000-0000-00005B000000}"/>
    <cellStyle name="20% - Accent3 9" xfId="89" xr:uid="{00000000-0005-0000-0000-00005C000000}"/>
    <cellStyle name="20% - Accent4" xfId="90" xr:uid="{00000000-0005-0000-0000-00005D000000}"/>
    <cellStyle name="20% - Accent4 10" xfId="91" xr:uid="{00000000-0005-0000-0000-00005E000000}"/>
    <cellStyle name="20% - Accent4 11" xfId="92" xr:uid="{00000000-0005-0000-0000-00005F000000}"/>
    <cellStyle name="20% - Accent4 12" xfId="93" xr:uid="{00000000-0005-0000-0000-000060000000}"/>
    <cellStyle name="20% - Accent4 13" xfId="94" xr:uid="{00000000-0005-0000-0000-000061000000}"/>
    <cellStyle name="20% - Accent4 14" xfId="95" xr:uid="{00000000-0005-0000-0000-000062000000}"/>
    <cellStyle name="20% - Accent4 15" xfId="96" xr:uid="{00000000-0005-0000-0000-000063000000}"/>
    <cellStyle name="20% - Accent4 16" xfId="97" xr:uid="{00000000-0005-0000-0000-000064000000}"/>
    <cellStyle name="20% - Accent4 17" xfId="98" xr:uid="{00000000-0005-0000-0000-000065000000}"/>
    <cellStyle name="20% - Accent4 18" xfId="99" xr:uid="{00000000-0005-0000-0000-000066000000}"/>
    <cellStyle name="20% - Accent4 19" xfId="100" xr:uid="{00000000-0005-0000-0000-000067000000}"/>
    <cellStyle name="20% - Accent4 2" xfId="101" xr:uid="{00000000-0005-0000-0000-000068000000}"/>
    <cellStyle name="20% - Accent4 20" xfId="102" xr:uid="{00000000-0005-0000-0000-000069000000}"/>
    <cellStyle name="20% - Accent4 21" xfId="103" xr:uid="{00000000-0005-0000-0000-00006A000000}"/>
    <cellStyle name="20% - Accent4 22" xfId="104" xr:uid="{00000000-0005-0000-0000-00006B000000}"/>
    <cellStyle name="20% - Accent4 23" xfId="105" xr:uid="{00000000-0005-0000-0000-00006C000000}"/>
    <cellStyle name="20% - Accent4 24" xfId="106" xr:uid="{00000000-0005-0000-0000-00006D000000}"/>
    <cellStyle name="20% - Accent4 25" xfId="107" xr:uid="{00000000-0005-0000-0000-00006E000000}"/>
    <cellStyle name="20% - Accent4 26" xfId="108" xr:uid="{00000000-0005-0000-0000-00006F000000}"/>
    <cellStyle name="20% - Accent4 27" xfId="109" xr:uid="{00000000-0005-0000-0000-000070000000}"/>
    <cellStyle name="20% - Accent4 28" xfId="110" xr:uid="{00000000-0005-0000-0000-000071000000}"/>
    <cellStyle name="20% - Accent4 29" xfId="111" xr:uid="{00000000-0005-0000-0000-000072000000}"/>
    <cellStyle name="20% - Accent4 3" xfId="112" xr:uid="{00000000-0005-0000-0000-000073000000}"/>
    <cellStyle name="20% - Accent4 4" xfId="113" xr:uid="{00000000-0005-0000-0000-000074000000}"/>
    <cellStyle name="20% - Accent4 5" xfId="114" xr:uid="{00000000-0005-0000-0000-000075000000}"/>
    <cellStyle name="20% - Accent4 6" xfId="115" xr:uid="{00000000-0005-0000-0000-000076000000}"/>
    <cellStyle name="20% - Accent4 7" xfId="116" xr:uid="{00000000-0005-0000-0000-000077000000}"/>
    <cellStyle name="20% - Accent4 8" xfId="117" xr:uid="{00000000-0005-0000-0000-000078000000}"/>
    <cellStyle name="20% - Accent4 9" xfId="118" xr:uid="{00000000-0005-0000-0000-000079000000}"/>
    <cellStyle name="20% - Accent5" xfId="119" xr:uid="{00000000-0005-0000-0000-00007A000000}"/>
    <cellStyle name="20% - Accent6" xfId="120" xr:uid="{00000000-0005-0000-0000-00007B000000}"/>
    <cellStyle name="20% - Accent6 10" xfId="121" xr:uid="{00000000-0005-0000-0000-00007C000000}"/>
    <cellStyle name="20% - Accent6 11" xfId="122" xr:uid="{00000000-0005-0000-0000-00007D000000}"/>
    <cellStyle name="20% - Accent6 12" xfId="123" xr:uid="{00000000-0005-0000-0000-00007E000000}"/>
    <cellStyle name="20% - Accent6 13" xfId="124" xr:uid="{00000000-0005-0000-0000-00007F000000}"/>
    <cellStyle name="20% - Accent6 14" xfId="125" xr:uid="{00000000-0005-0000-0000-000080000000}"/>
    <cellStyle name="20% - Accent6 15" xfId="126" xr:uid="{00000000-0005-0000-0000-000081000000}"/>
    <cellStyle name="20% - Accent6 16" xfId="127" xr:uid="{00000000-0005-0000-0000-000082000000}"/>
    <cellStyle name="20% - Accent6 17" xfId="128" xr:uid="{00000000-0005-0000-0000-000083000000}"/>
    <cellStyle name="20% - Accent6 18" xfId="129" xr:uid="{00000000-0005-0000-0000-000084000000}"/>
    <cellStyle name="20% - Accent6 19" xfId="130" xr:uid="{00000000-0005-0000-0000-000085000000}"/>
    <cellStyle name="20% - Accent6 2" xfId="131" xr:uid="{00000000-0005-0000-0000-000086000000}"/>
    <cellStyle name="20% - Accent6 20" xfId="132" xr:uid="{00000000-0005-0000-0000-000087000000}"/>
    <cellStyle name="20% - Accent6 21" xfId="133" xr:uid="{00000000-0005-0000-0000-000088000000}"/>
    <cellStyle name="20% - Accent6 22" xfId="134" xr:uid="{00000000-0005-0000-0000-000089000000}"/>
    <cellStyle name="20% - Accent6 23" xfId="135" xr:uid="{00000000-0005-0000-0000-00008A000000}"/>
    <cellStyle name="20% - Accent6 24" xfId="136" xr:uid="{00000000-0005-0000-0000-00008B000000}"/>
    <cellStyle name="20% - Accent6 25" xfId="137" xr:uid="{00000000-0005-0000-0000-00008C000000}"/>
    <cellStyle name="20% - Accent6 26" xfId="138" xr:uid="{00000000-0005-0000-0000-00008D000000}"/>
    <cellStyle name="20% - Accent6 27" xfId="139" xr:uid="{00000000-0005-0000-0000-00008E000000}"/>
    <cellStyle name="20% - Accent6 28" xfId="140" xr:uid="{00000000-0005-0000-0000-00008F000000}"/>
    <cellStyle name="20% - Accent6 29" xfId="141" xr:uid="{00000000-0005-0000-0000-000090000000}"/>
    <cellStyle name="20% - Accent6 3" xfId="142" xr:uid="{00000000-0005-0000-0000-000091000000}"/>
    <cellStyle name="20% - Accent6 4" xfId="143" xr:uid="{00000000-0005-0000-0000-000092000000}"/>
    <cellStyle name="20% - Accent6 5" xfId="144" xr:uid="{00000000-0005-0000-0000-000093000000}"/>
    <cellStyle name="20% - Accent6 6" xfId="145" xr:uid="{00000000-0005-0000-0000-000094000000}"/>
    <cellStyle name="20% - Accent6 7" xfId="146" xr:uid="{00000000-0005-0000-0000-000095000000}"/>
    <cellStyle name="20% - Accent6 8" xfId="147" xr:uid="{00000000-0005-0000-0000-000096000000}"/>
    <cellStyle name="20% - Accent6 9" xfId="148" xr:uid="{00000000-0005-0000-0000-000097000000}"/>
    <cellStyle name="40% - Accent1" xfId="149" xr:uid="{00000000-0005-0000-0000-000098000000}"/>
    <cellStyle name="40% - Accent1 10" xfId="150" xr:uid="{00000000-0005-0000-0000-000099000000}"/>
    <cellStyle name="40% - Accent1 11" xfId="151" xr:uid="{00000000-0005-0000-0000-00009A000000}"/>
    <cellStyle name="40% - Accent1 12" xfId="152" xr:uid="{00000000-0005-0000-0000-00009B000000}"/>
    <cellStyle name="40% - Accent1 13" xfId="153" xr:uid="{00000000-0005-0000-0000-00009C000000}"/>
    <cellStyle name="40% - Accent1 14" xfId="154" xr:uid="{00000000-0005-0000-0000-00009D000000}"/>
    <cellStyle name="40% - Accent1 15" xfId="155" xr:uid="{00000000-0005-0000-0000-00009E000000}"/>
    <cellStyle name="40% - Accent1 16" xfId="156" xr:uid="{00000000-0005-0000-0000-00009F000000}"/>
    <cellStyle name="40% - Accent1 17" xfId="157" xr:uid="{00000000-0005-0000-0000-0000A0000000}"/>
    <cellStyle name="40% - Accent1 18" xfId="158" xr:uid="{00000000-0005-0000-0000-0000A1000000}"/>
    <cellStyle name="40% - Accent1 19" xfId="159" xr:uid="{00000000-0005-0000-0000-0000A2000000}"/>
    <cellStyle name="40% - Accent1 2" xfId="160" xr:uid="{00000000-0005-0000-0000-0000A3000000}"/>
    <cellStyle name="40% - Accent1 20" xfId="161" xr:uid="{00000000-0005-0000-0000-0000A4000000}"/>
    <cellStyle name="40% - Accent1 21" xfId="162" xr:uid="{00000000-0005-0000-0000-0000A5000000}"/>
    <cellStyle name="40% - Accent1 22" xfId="163" xr:uid="{00000000-0005-0000-0000-0000A6000000}"/>
    <cellStyle name="40% - Accent1 23" xfId="164" xr:uid="{00000000-0005-0000-0000-0000A7000000}"/>
    <cellStyle name="40% - Accent1 24" xfId="165" xr:uid="{00000000-0005-0000-0000-0000A8000000}"/>
    <cellStyle name="40% - Accent1 25" xfId="166" xr:uid="{00000000-0005-0000-0000-0000A9000000}"/>
    <cellStyle name="40% - Accent1 26" xfId="167" xr:uid="{00000000-0005-0000-0000-0000AA000000}"/>
    <cellStyle name="40% - Accent1 27" xfId="168" xr:uid="{00000000-0005-0000-0000-0000AB000000}"/>
    <cellStyle name="40% - Accent1 28" xfId="169" xr:uid="{00000000-0005-0000-0000-0000AC000000}"/>
    <cellStyle name="40% - Accent1 29" xfId="170" xr:uid="{00000000-0005-0000-0000-0000AD000000}"/>
    <cellStyle name="40% - Accent1 3" xfId="171" xr:uid="{00000000-0005-0000-0000-0000AE000000}"/>
    <cellStyle name="40% - Accent1 4" xfId="172" xr:uid="{00000000-0005-0000-0000-0000AF000000}"/>
    <cellStyle name="40% - Accent1 5" xfId="173" xr:uid="{00000000-0005-0000-0000-0000B0000000}"/>
    <cellStyle name="40% - Accent1 6" xfId="174" xr:uid="{00000000-0005-0000-0000-0000B1000000}"/>
    <cellStyle name="40% - Accent1 7" xfId="175" xr:uid="{00000000-0005-0000-0000-0000B2000000}"/>
    <cellStyle name="40% - Accent1 8" xfId="176" xr:uid="{00000000-0005-0000-0000-0000B3000000}"/>
    <cellStyle name="40% - Accent1 9" xfId="177" xr:uid="{00000000-0005-0000-0000-0000B4000000}"/>
    <cellStyle name="40% - Accent2" xfId="178" xr:uid="{00000000-0005-0000-0000-0000B5000000}"/>
    <cellStyle name="40% - Accent3" xfId="179" xr:uid="{00000000-0005-0000-0000-0000B6000000}"/>
    <cellStyle name="40% - Accent3 10" xfId="180" xr:uid="{00000000-0005-0000-0000-0000B7000000}"/>
    <cellStyle name="40% - Accent3 11" xfId="181" xr:uid="{00000000-0005-0000-0000-0000B8000000}"/>
    <cellStyle name="40% - Accent3 12" xfId="182" xr:uid="{00000000-0005-0000-0000-0000B9000000}"/>
    <cellStyle name="40% - Accent3 13" xfId="183" xr:uid="{00000000-0005-0000-0000-0000BA000000}"/>
    <cellStyle name="40% - Accent3 14" xfId="184" xr:uid="{00000000-0005-0000-0000-0000BB000000}"/>
    <cellStyle name="40% - Accent3 15" xfId="185" xr:uid="{00000000-0005-0000-0000-0000BC000000}"/>
    <cellStyle name="40% - Accent3 16" xfId="186" xr:uid="{00000000-0005-0000-0000-0000BD000000}"/>
    <cellStyle name="40% - Accent3 17" xfId="187" xr:uid="{00000000-0005-0000-0000-0000BE000000}"/>
    <cellStyle name="40% - Accent3 18" xfId="188" xr:uid="{00000000-0005-0000-0000-0000BF000000}"/>
    <cellStyle name="40% - Accent3 19" xfId="189" xr:uid="{00000000-0005-0000-0000-0000C0000000}"/>
    <cellStyle name="40% - Accent3 2" xfId="190" xr:uid="{00000000-0005-0000-0000-0000C1000000}"/>
    <cellStyle name="40% - Accent3 20" xfId="191" xr:uid="{00000000-0005-0000-0000-0000C2000000}"/>
    <cellStyle name="40% - Accent3 21" xfId="192" xr:uid="{00000000-0005-0000-0000-0000C3000000}"/>
    <cellStyle name="40% - Accent3 22" xfId="193" xr:uid="{00000000-0005-0000-0000-0000C4000000}"/>
    <cellStyle name="40% - Accent3 23" xfId="194" xr:uid="{00000000-0005-0000-0000-0000C5000000}"/>
    <cellStyle name="40% - Accent3 24" xfId="195" xr:uid="{00000000-0005-0000-0000-0000C6000000}"/>
    <cellStyle name="40% - Accent3 25" xfId="196" xr:uid="{00000000-0005-0000-0000-0000C7000000}"/>
    <cellStyle name="40% - Accent3 26" xfId="197" xr:uid="{00000000-0005-0000-0000-0000C8000000}"/>
    <cellStyle name="40% - Accent3 27" xfId="198" xr:uid="{00000000-0005-0000-0000-0000C9000000}"/>
    <cellStyle name="40% - Accent3 28" xfId="199" xr:uid="{00000000-0005-0000-0000-0000CA000000}"/>
    <cellStyle name="40% - Accent3 29" xfId="200" xr:uid="{00000000-0005-0000-0000-0000CB000000}"/>
    <cellStyle name="40% - Accent3 3" xfId="201" xr:uid="{00000000-0005-0000-0000-0000CC000000}"/>
    <cellStyle name="40% - Accent3 4" xfId="202" xr:uid="{00000000-0005-0000-0000-0000CD000000}"/>
    <cellStyle name="40% - Accent3 5" xfId="203" xr:uid="{00000000-0005-0000-0000-0000CE000000}"/>
    <cellStyle name="40% - Accent3 6" xfId="204" xr:uid="{00000000-0005-0000-0000-0000CF000000}"/>
    <cellStyle name="40% - Accent3 7" xfId="205" xr:uid="{00000000-0005-0000-0000-0000D0000000}"/>
    <cellStyle name="40% - Accent3 8" xfId="206" xr:uid="{00000000-0005-0000-0000-0000D1000000}"/>
    <cellStyle name="40% - Accent3 9" xfId="207" xr:uid="{00000000-0005-0000-0000-0000D2000000}"/>
    <cellStyle name="40% - Accent4" xfId="208" xr:uid="{00000000-0005-0000-0000-0000D3000000}"/>
    <cellStyle name="40% - Accent4 10" xfId="209" xr:uid="{00000000-0005-0000-0000-0000D4000000}"/>
    <cellStyle name="40% - Accent4 11" xfId="210" xr:uid="{00000000-0005-0000-0000-0000D5000000}"/>
    <cellStyle name="40% - Accent4 12" xfId="211" xr:uid="{00000000-0005-0000-0000-0000D6000000}"/>
    <cellStyle name="40% - Accent4 13" xfId="212" xr:uid="{00000000-0005-0000-0000-0000D7000000}"/>
    <cellStyle name="40% - Accent4 14" xfId="213" xr:uid="{00000000-0005-0000-0000-0000D8000000}"/>
    <cellStyle name="40% - Accent4 15" xfId="214" xr:uid="{00000000-0005-0000-0000-0000D9000000}"/>
    <cellStyle name="40% - Accent4 16" xfId="215" xr:uid="{00000000-0005-0000-0000-0000DA000000}"/>
    <cellStyle name="40% - Accent4 17" xfId="216" xr:uid="{00000000-0005-0000-0000-0000DB000000}"/>
    <cellStyle name="40% - Accent4 18" xfId="217" xr:uid="{00000000-0005-0000-0000-0000DC000000}"/>
    <cellStyle name="40% - Accent4 19" xfId="218" xr:uid="{00000000-0005-0000-0000-0000DD000000}"/>
    <cellStyle name="40% - Accent4 2" xfId="219" xr:uid="{00000000-0005-0000-0000-0000DE000000}"/>
    <cellStyle name="40% - Accent4 20" xfId="220" xr:uid="{00000000-0005-0000-0000-0000DF000000}"/>
    <cellStyle name="40% - Accent4 21" xfId="221" xr:uid="{00000000-0005-0000-0000-0000E0000000}"/>
    <cellStyle name="40% - Accent4 22" xfId="222" xr:uid="{00000000-0005-0000-0000-0000E1000000}"/>
    <cellStyle name="40% - Accent4 23" xfId="223" xr:uid="{00000000-0005-0000-0000-0000E2000000}"/>
    <cellStyle name="40% - Accent4 24" xfId="224" xr:uid="{00000000-0005-0000-0000-0000E3000000}"/>
    <cellStyle name="40% - Accent4 25" xfId="225" xr:uid="{00000000-0005-0000-0000-0000E4000000}"/>
    <cellStyle name="40% - Accent4 26" xfId="226" xr:uid="{00000000-0005-0000-0000-0000E5000000}"/>
    <cellStyle name="40% - Accent4 27" xfId="227" xr:uid="{00000000-0005-0000-0000-0000E6000000}"/>
    <cellStyle name="40% - Accent4 28" xfId="228" xr:uid="{00000000-0005-0000-0000-0000E7000000}"/>
    <cellStyle name="40% - Accent4 29" xfId="229" xr:uid="{00000000-0005-0000-0000-0000E8000000}"/>
    <cellStyle name="40% - Accent4 3" xfId="230" xr:uid="{00000000-0005-0000-0000-0000E9000000}"/>
    <cellStyle name="40% - Accent4 4" xfId="231" xr:uid="{00000000-0005-0000-0000-0000EA000000}"/>
    <cellStyle name="40% - Accent4 5" xfId="232" xr:uid="{00000000-0005-0000-0000-0000EB000000}"/>
    <cellStyle name="40% - Accent4 6" xfId="233" xr:uid="{00000000-0005-0000-0000-0000EC000000}"/>
    <cellStyle name="40% - Accent4 7" xfId="234" xr:uid="{00000000-0005-0000-0000-0000ED000000}"/>
    <cellStyle name="40% - Accent4 8" xfId="235" xr:uid="{00000000-0005-0000-0000-0000EE000000}"/>
    <cellStyle name="40% - Accent4 9" xfId="236" xr:uid="{00000000-0005-0000-0000-0000EF000000}"/>
    <cellStyle name="40% - Accent5" xfId="237" xr:uid="{00000000-0005-0000-0000-0000F0000000}"/>
    <cellStyle name="40% - Accent5 10" xfId="238" xr:uid="{00000000-0005-0000-0000-0000F1000000}"/>
    <cellStyle name="40% - Accent5 11" xfId="239" xr:uid="{00000000-0005-0000-0000-0000F2000000}"/>
    <cellStyle name="40% - Accent5 12" xfId="240" xr:uid="{00000000-0005-0000-0000-0000F3000000}"/>
    <cellStyle name="40% - Accent5 13" xfId="241" xr:uid="{00000000-0005-0000-0000-0000F4000000}"/>
    <cellStyle name="40% - Accent5 14" xfId="242" xr:uid="{00000000-0005-0000-0000-0000F5000000}"/>
    <cellStyle name="40% - Accent5 15" xfId="243" xr:uid="{00000000-0005-0000-0000-0000F6000000}"/>
    <cellStyle name="40% - Accent5 16" xfId="244" xr:uid="{00000000-0005-0000-0000-0000F7000000}"/>
    <cellStyle name="40% - Accent5 17" xfId="245" xr:uid="{00000000-0005-0000-0000-0000F8000000}"/>
    <cellStyle name="40% - Accent5 18" xfId="246" xr:uid="{00000000-0005-0000-0000-0000F9000000}"/>
    <cellStyle name="40% - Accent5 19" xfId="247" xr:uid="{00000000-0005-0000-0000-0000FA000000}"/>
    <cellStyle name="40% - Accent5 2" xfId="248" xr:uid="{00000000-0005-0000-0000-0000FB000000}"/>
    <cellStyle name="40% - Accent5 20" xfId="249" xr:uid="{00000000-0005-0000-0000-0000FC000000}"/>
    <cellStyle name="40% - Accent5 21" xfId="250" xr:uid="{00000000-0005-0000-0000-0000FD000000}"/>
    <cellStyle name="40% - Accent5 22" xfId="251" xr:uid="{00000000-0005-0000-0000-0000FE000000}"/>
    <cellStyle name="40% - Accent5 23" xfId="252" xr:uid="{00000000-0005-0000-0000-0000FF000000}"/>
    <cellStyle name="40% - Accent5 24" xfId="253" xr:uid="{00000000-0005-0000-0000-000000010000}"/>
    <cellStyle name="40% - Accent5 25" xfId="254" xr:uid="{00000000-0005-0000-0000-000001010000}"/>
    <cellStyle name="40% - Accent5 26" xfId="255" xr:uid="{00000000-0005-0000-0000-000002010000}"/>
    <cellStyle name="40% - Accent5 27" xfId="256" xr:uid="{00000000-0005-0000-0000-000003010000}"/>
    <cellStyle name="40% - Accent5 28" xfId="257" xr:uid="{00000000-0005-0000-0000-000004010000}"/>
    <cellStyle name="40% - Accent5 29" xfId="258" xr:uid="{00000000-0005-0000-0000-000005010000}"/>
    <cellStyle name="40% - Accent5 3" xfId="259" xr:uid="{00000000-0005-0000-0000-000006010000}"/>
    <cellStyle name="40% - Accent5 4" xfId="260" xr:uid="{00000000-0005-0000-0000-000007010000}"/>
    <cellStyle name="40% - Accent5 5" xfId="261" xr:uid="{00000000-0005-0000-0000-000008010000}"/>
    <cellStyle name="40% - Accent5 6" xfId="262" xr:uid="{00000000-0005-0000-0000-000009010000}"/>
    <cellStyle name="40% - Accent5 7" xfId="263" xr:uid="{00000000-0005-0000-0000-00000A010000}"/>
    <cellStyle name="40% - Accent5 8" xfId="264" xr:uid="{00000000-0005-0000-0000-00000B010000}"/>
    <cellStyle name="40% - Accent5 9" xfId="265" xr:uid="{00000000-0005-0000-0000-00000C010000}"/>
    <cellStyle name="40% - Accent6" xfId="266" xr:uid="{00000000-0005-0000-0000-00000D010000}"/>
    <cellStyle name="40% - Accent6 10" xfId="267" xr:uid="{00000000-0005-0000-0000-00000E010000}"/>
    <cellStyle name="40% - Accent6 11" xfId="268" xr:uid="{00000000-0005-0000-0000-00000F010000}"/>
    <cellStyle name="40% - Accent6 12" xfId="269" xr:uid="{00000000-0005-0000-0000-000010010000}"/>
    <cellStyle name="40% - Accent6 13" xfId="270" xr:uid="{00000000-0005-0000-0000-000011010000}"/>
    <cellStyle name="40% - Accent6 14" xfId="271" xr:uid="{00000000-0005-0000-0000-000012010000}"/>
    <cellStyle name="40% - Accent6 15" xfId="272" xr:uid="{00000000-0005-0000-0000-000013010000}"/>
    <cellStyle name="40% - Accent6 16" xfId="273" xr:uid="{00000000-0005-0000-0000-000014010000}"/>
    <cellStyle name="40% - Accent6 17" xfId="274" xr:uid="{00000000-0005-0000-0000-000015010000}"/>
    <cellStyle name="40% - Accent6 18" xfId="275" xr:uid="{00000000-0005-0000-0000-000016010000}"/>
    <cellStyle name="40% - Accent6 19" xfId="276" xr:uid="{00000000-0005-0000-0000-000017010000}"/>
    <cellStyle name="40% - Accent6 2" xfId="277" xr:uid="{00000000-0005-0000-0000-000018010000}"/>
    <cellStyle name="40% - Accent6 20" xfId="278" xr:uid="{00000000-0005-0000-0000-000019010000}"/>
    <cellStyle name="40% - Accent6 21" xfId="279" xr:uid="{00000000-0005-0000-0000-00001A010000}"/>
    <cellStyle name="40% - Accent6 22" xfId="280" xr:uid="{00000000-0005-0000-0000-00001B010000}"/>
    <cellStyle name="40% - Accent6 23" xfId="281" xr:uid="{00000000-0005-0000-0000-00001C010000}"/>
    <cellStyle name="40% - Accent6 24" xfId="282" xr:uid="{00000000-0005-0000-0000-00001D010000}"/>
    <cellStyle name="40% - Accent6 25" xfId="283" xr:uid="{00000000-0005-0000-0000-00001E010000}"/>
    <cellStyle name="40% - Accent6 26" xfId="284" xr:uid="{00000000-0005-0000-0000-00001F010000}"/>
    <cellStyle name="40% - Accent6 27" xfId="285" xr:uid="{00000000-0005-0000-0000-000020010000}"/>
    <cellStyle name="40% - Accent6 28" xfId="286" xr:uid="{00000000-0005-0000-0000-000021010000}"/>
    <cellStyle name="40% - Accent6 29" xfId="287" xr:uid="{00000000-0005-0000-0000-000022010000}"/>
    <cellStyle name="40% - Accent6 3" xfId="288" xr:uid="{00000000-0005-0000-0000-000023010000}"/>
    <cellStyle name="40% - Accent6 4" xfId="289" xr:uid="{00000000-0005-0000-0000-000024010000}"/>
    <cellStyle name="40% - Accent6 5" xfId="290" xr:uid="{00000000-0005-0000-0000-000025010000}"/>
    <cellStyle name="40% - Accent6 6" xfId="291" xr:uid="{00000000-0005-0000-0000-000026010000}"/>
    <cellStyle name="40% - Accent6 7" xfId="292" xr:uid="{00000000-0005-0000-0000-000027010000}"/>
    <cellStyle name="40% - Accent6 8" xfId="293" xr:uid="{00000000-0005-0000-0000-000028010000}"/>
    <cellStyle name="40% - Accent6 9" xfId="294" xr:uid="{00000000-0005-0000-0000-000029010000}"/>
    <cellStyle name="60% - Accent1" xfId="295" xr:uid="{00000000-0005-0000-0000-00002A010000}"/>
    <cellStyle name="60% - Accent1 10" xfId="296" xr:uid="{00000000-0005-0000-0000-00002B010000}"/>
    <cellStyle name="60% - Accent1 11" xfId="297" xr:uid="{00000000-0005-0000-0000-00002C010000}"/>
    <cellStyle name="60% - Accent1 12" xfId="298" xr:uid="{00000000-0005-0000-0000-00002D010000}"/>
    <cellStyle name="60% - Accent1 13" xfId="299" xr:uid="{00000000-0005-0000-0000-00002E010000}"/>
    <cellStyle name="60% - Accent1 14" xfId="300" xr:uid="{00000000-0005-0000-0000-00002F010000}"/>
    <cellStyle name="60% - Accent1 15" xfId="301" xr:uid="{00000000-0005-0000-0000-000030010000}"/>
    <cellStyle name="60% - Accent1 16" xfId="302" xr:uid="{00000000-0005-0000-0000-000031010000}"/>
    <cellStyle name="60% - Accent1 17" xfId="303" xr:uid="{00000000-0005-0000-0000-000032010000}"/>
    <cellStyle name="60% - Accent1 18" xfId="304" xr:uid="{00000000-0005-0000-0000-000033010000}"/>
    <cellStyle name="60% - Accent1 19" xfId="305" xr:uid="{00000000-0005-0000-0000-000034010000}"/>
    <cellStyle name="60% - Accent1 2" xfId="306" xr:uid="{00000000-0005-0000-0000-000035010000}"/>
    <cellStyle name="60% - Accent1 20" xfId="307" xr:uid="{00000000-0005-0000-0000-000036010000}"/>
    <cellStyle name="60% - Accent1 21" xfId="308" xr:uid="{00000000-0005-0000-0000-000037010000}"/>
    <cellStyle name="60% - Accent1 22" xfId="309" xr:uid="{00000000-0005-0000-0000-000038010000}"/>
    <cellStyle name="60% - Accent1 23" xfId="310" xr:uid="{00000000-0005-0000-0000-000039010000}"/>
    <cellStyle name="60% - Accent1 24" xfId="311" xr:uid="{00000000-0005-0000-0000-00003A010000}"/>
    <cellStyle name="60% - Accent1 25" xfId="312" xr:uid="{00000000-0005-0000-0000-00003B010000}"/>
    <cellStyle name="60% - Accent1 26" xfId="313" xr:uid="{00000000-0005-0000-0000-00003C010000}"/>
    <cellStyle name="60% - Accent1 27" xfId="314" xr:uid="{00000000-0005-0000-0000-00003D010000}"/>
    <cellStyle name="60% - Accent1 28" xfId="315" xr:uid="{00000000-0005-0000-0000-00003E010000}"/>
    <cellStyle name="60% - Accent1 29" xfId="316" xr:uid="{00000000-0005-0000-0000-00003F010000}"/>
    <cellStyle name="60% - Accent1 3" xfId="317" xr:uid="{00000000-0005-0000-0000-000040010000}"/>
    <cellStyle name="60% - Accent1 4" xfId="318" xr:uid="{00000000-0005-0000-0000-000041010000}"/>
    <cellStyle name="60% - Accent1 5" xfId="319" xr:uid="{00000000-0005-0000-0000-000042010000}"/>
    <cellStyle name="60% - Accent1 6" xfId="320" xr:uid="{00000000-0005-0000-0000-000043010000}"/>
    <cellStyle name="60% - Accent1 7" xfId="321" xr:uid="{00000000-0005-0000-0000-000044010000}"/>
    <cellStyle name="60% - Accent1 8" xfId="322" xr:uid="{00000000-0005-0000-0000-000045010000}"/>
    <cellStyle name="60% - Accent1 9" xfId="323" xr:uid="{00000000-0005-0000-0000-000046010000}"/>
    <cellStyle name="60% - Accent2" xfId="324" xr:uid="{00000000-0005-0000-0000-000047010000}"/>
    <cellStyle name="60% - Accent2 10" xfId="325" xr:uid="{00000000-0005-0000-0000-000048010000}"/>
    <cellStyle name="60% - Accent2 11" xfId="326" xr:uid="{00000000-0005-0000-0000-000049010000}"/>
    <cellStyle name="60% - Accent2 12" xfId="327" xr:uid="{00000000-0005-0000-0000-00004A010000}"/>
    <cellStyle name="60% - Accent2 13" xfId="328" xr:uid="{00000000-0005-0000-0000-00004B010000}"/>
    <cellStyle name="60% - Accent2 14" xfId="329" xr:uid="{00000000-0005-0000-0000-00004C010000}"/>
    <cellStyle name="60% - Accent2 15" xfId="330" xr:uid="{00000000-0005-0000-0000-00004D010000}"/>
    <cellStyle name="60% - Accent2 16" xfId="331" xr:uid="{00000000-0005-0000-0000-00004E010000}"/>
    <cellStyle name="60% - Accent2 17" xfId="332" xr:uid="{00000000-0005-0000-0000-00004F010000}"/>
    <cellStyle name="60% - Accent2 18" xfId="333" xr:uid="{00000000-0005-0000-0000-000050010000}"/>
    <cellStyle name="60% - Accent2 19" xfId="334" xr:uid="{00000000-0005-0000-0000-000051010000}"/>
    <cellStyle name="60% - Accent2 2" xfId="335" xr:uid="{00000000-0005-0000-0000-000052010000}"/>
    <cellStyle name="60% - Accent2 20" xfId="336" xr:uid="{00000000-0005-0000-0000-000053010000}"/>
    <cellStyle name="60% - Accent2 21" xfId="337" xr:uid="{00000000-0005-0000-0000-000054010000}"/>
    <cellStyle name="60% - Accent2 22" xfId="338" xr:uid="{00000000-0005-0000-0000-000055010000}"/>
    <cellStyle name="60% - Accent2 23" xfId="339" xr:uid="{00000000-0005-0000-0000-000056010000}"/>
    <cellStyle name="60% - Accent2 24" xfId="340" xr:uid="{00000000-0005-0000-0000-000057010000}"/>
    <cellStyle name="60% - Accent2 25" xfId="341" xr:uid="{00000000-0005-0000-0000-000058010000}"/>
    <cellStyle name="60% - Accent2 26" xfId="342" xr:uid="{00000000-0005-0000-0000-000059010000}"/>
    <cellStyle name="60% - Accent2 27" xfId="343" xr:uid="{00000000-0005-0000-0000-00005A010000}"/>
    <cellStyle name="60% - Accent2 28" xfId="344" xr:uid="{00000000-0005-0000-0000-00005B010000}"/>
    <cellStyle name="60% - Accent2 29" xfId="345" xr:uid="{00000000-0005-0000-0000-00005C010000}"/>
    <cellStyle name="60% - Accent2 3" xfId="346" xr:uid="{00000000-0005-0000-0000-00005D010000}"/>
    <cellStyle name="60% - Accent2 4" xfId="347" xr:uid="{00000000-0005-0000-0000-00005E010000}"/>
    <cellStyle name="60% - Accent2 5" xfId="348" xr:uid="{00000000-0005-0000-0000-00005F010000}"/>
    <cellStyle name="60% - Accent2 6" xfId="349" xr:uid="{00000000-0005-0000-0000-000060010000}"/>
    <cellStyle name="60% - Accent2 7" xfId="350" xr:uid="{00000000-0005-0000-0000-000061010000}"/>
    <cellStyle name="60% - Accent2 8" xfId="351" xr:uid="{00000000-0005-0000-0000-000062010000}"/>
    <cellStyle name="60% - Accent2 9" xfId="352" xr:uid="{00000000-0005-0000-0000-000063010000}"/>
    <cellStyle name="60% - Accent3" xfId="353" xr:uid="{00000000-0005-0000-0000-000064010000}"/>
    <cellStyle name="60% - Accent3 10" xfId="354" xr:uid="{00000000-0005-0000-0000-000065010000}"/>
    <cellStyle name="60% - Accent3 11" xfId="355" xr:uid="{00000000-0005-0000-0000-000066010000}"/>
    <cellStyle name="60% - Accent3 12" xfId="356" xr:uid="{00000000-0005-0000-0000-000067010000}"/>
    <cellStyle name="60% - Accent3 13" xfId="357" xr:uid="{00000000-0005-0000-0000-000068010000}"/>
    <cellStyle name="60% - Accent3 14" xfId="358" xr:uid="{00000000-0005-0000-0000-000069010000}"/>
    <cellStyle name="60% - Accent3 15" xfId="359" xr:uid="{00000000-0005-0000-0000-00006A010000}"/>
    <cellStyle name="60% - Accent3 16" xfId="360" xr:uid="{00000000-0005-0000-0000-00006B010000}"/>
    <cellStyle name="60% - Accent3 17" xfId="361" xr:uid="{00000000-0005-0000-0000-00006C010000}"/>
    <cellStyle name="60% - Accent3 18" xfId="362" xr:uid="{00000000-0005-0000-0000-00006D010000}"/>
    <cellStyle name="60% - Accent3 19" xfId="363" xr:uid="{00000000-0005-0000-0000-00006E010000}"/>
    <cellStyle name="60% - Accent3 2" xfId="364" xr:uid="{00000000-0005-0000-0000-00006F010000}"/>
    <cellStyle name="60% - Accent3 20" xfId="365" xr:uid="{00000000-0005-0000-0000-000070010000}"/>
    <cellStyle name="60% - Accent3 21" xfId="366" xr:uid="{00000000-0005-0000-0000-000071010000}"/>
    <cellStyle name="60% - Accent3 22" xfId="367" xr:uid="{00000000-0005-0000-0000-000072010000}"/>
    <cellStyle name="60% - Accent3 23" xfId="368" xr:uid="{00000000-0005-0000-0000-000073010000}"/>
    <cellStyle name="60% - Accent3 24" xfId="369" xr:uid="{00000000-0005-0000-0000-000074010000}"/>
    <cellStyle name="60% - Accent3 25" xfId="370" xr:uid="{00000000-0005-0000-0000-000075010000}"/>
    <cellStyle name="60% - Accent3 26" xfId="371" xr:uid="{00000000-0005-0000-0000-000076010000}"/>
    <cellStyle name="60% - Accent3 27" xfId="372" xr:uid="{00000000-0005-0000-0000-000077010000}"/>
    <cellStyle name="60% - Accent3 28" xfId="373" xr:uid="{00000000-0005-0000-0000-000078010000}"/>
    <cellStyle name="60% - Accent3 29" xfId="374" xr:uid="{00000000-0005-0000-0000-000079010000}"/>
    <cellStyle name="60% - Accent3 3" xfId="375" xr:uid="{00000000-0005-0000-0000-00007A010000}"/>
    <cellStyle name="60% - Accent3 4" xfId="376" xr:uid="{00000000-0005-0000-0000-00007B010000}"/>
    <cellStyle name="60% - Accent3 5" xfId="377" xr:uid="{00000000-0005-0000-0000-00007C010000}"/>
    <cellStyle name="60% - Accent3 6" xfId="378" xr:uid="{00000000-0005-0000-0000-00007D010000}"/>
    <cellStyle name="60% - Accent3 7" xfId="379" xr:uid="{00000000-0005-0000-0000-00007E010000}"/>
    <cellStyle name="60% - Accent3 8" xfId="380" xr:uid="{00000000-0005-0000-0000-00007F010000}"/>
    <cellStyle name="60% - Accent3 9" xfId="381" xr:uid="{00000000-0005-0000-0000-000080010000}"/>
    <cellStyle name="60% - Accent4" xfId="382" xr:uid="{00000000-0005-0000-0000-000081010000}"/>
    <cellStyle name="60% - Accent4 10" xfId="383" xr:uid="{00000000-0005-0000-0000-000082010000}"/>
    <cellStyle name="60% - Accent4 11" xfId="384" xr:uid="{00000000-0005-0000-0000-000083010000}"/>
    <cellStyle name="60% - Accent4 12" xfId="385" xr:uid="{00000000-0005-0000-0000-000084010000}"/>
    <cellStyle name="60% - Accent4 13" xfId="386" xr:uid="{00000000-0005-0000-0000-000085010000}"/>
    <cellStyle name="60% - Accent4 14" xfId="387" xr:uid="{00000000-0005-0000-0000-000086010000}"/>
    <cellStyle name="60% - Accent4 15" xfId="388" xr:uid="{00000000-0005-0000-0000-000087010000}"/>
    <cellStyle name="60% - Accent4 16" xfId="389" xr:uid="{00000000-0005-0000-0000-000088010000}"/>
    <cellStyle name="60% - Accent4 17" xfId="390" xr:uid="{00000000-0005-0000-0000-000089010000}"/>
    <cellStyle name="60% - Accent4 18" xfId="391" xr:uid="{00000000-0005-0000-0000-00008A010000}"/>
    <cellStyle name="60% - Accent4 19" xfId="392" xr:uid="{00000000-0005-0000-0000-00008B010000}"/>
    <cellStyle name="60% - Accent4 2" xfId="393" xr:uid="{00000000-0005-0000-0000-00008C010000}"/>
    <cellStyle name="60% - Accent4 20" xfId="394" xr:uid="{00000000-0005-0000-0000-00008D010000}"/>
    <cellStyle name="60% - Accent4 21" xfId="395" xr:uid="{00000000-0005-0000-0000-00008E010000}"/>
    <cellStyle name="60% - Accent4 22" xfId="396" xr:uid="{00000000-0005-0000-0000-00008F010000}"/>
    <cellStyle name="60% - Accent4 23" xfId="397" xr:uid="{00000000-0005-0000-0000-000090010000}"/>
    <cellStyle name="60% - Accent4 24" xfId="398" xr:uid="{00000000-0005-0000-0000-000091010000}"/>
    <cellStyle name="60% - Accent4 25" xfId="399" xr:uid="{00000000-0005-0000-0000-000092010000}"/>
    <cellStyle name="60% - Accent4 26" xfId="400" xr:uid="{00000000-0005-0000-0000-000093010000}"/>
    <cellStyle name="60% - Accent4 27" xfId="401" xr:uid="{00000000-0005-0000-0000-000094010000}"/>
    <cellStyle name="60% - Accent4 28" xfId="402" xr:uid="{00000000-0005-0000-0000-000095010000}"/>
    <cellStyle name="60% - Accent4 29" xfId="403" xr:uid="{00000000-0005-0000-0000-000096010000}"/>
    <cellStyle name="60% - Accent4 3" xfId="404" xr:uid="{00000000-0005-0000-0000-000097010000}"/>
    <cellStyle name="60% - Accent4 4" xfId="405" xr:uid="{00000000-0005-0000-0000-000098010000}"/>
    <cellStyle name="60% - Accent4 5" xfId="406" xr:uid="{00000000-0005-0000-0000-000099010000}"/>
    <cellStyle name="60% - Accent4 6" xfId="407" xr:uid="{00000000-0005-0000-0000-00009A010000}"/>
    <cellStyle name="60% - Accent4 7" xfId="408" xr:uid="{00000000-0005-0000-0000-00009B010000}"/>
    <cellStyle name="60% - Accent4 8" xfId="409" xr:uid="{00000000-0005-0000-0000-00009C010000}"/>
    <cellStyle name="60% - Accent4 9" xfId="410" xr:uid="{00000000-0005-0000-0000-00009D010000}"/>
    <cellStyle name="60% - Accent5" xfId="411" xr:uid="{00000000-0005-0000-0000-00009E010000}"/>
    <cellStyle name="60% - Accent5 10" xfId="412" xr:uid="{00000000-0005-0000-0000-00009F010000}"/>
    <cellStyle name="60% - Accent5 11" xfId="413" xr:uid="{00000000-0005-0000-0000-0000A0010000}"/>
    <cellStyle name="60% - Accent5 12" xfId="414" xr:uid="{00000000-0005-0000-0000-0000A1010000}"/>
    <cellStyle name="60% - Accent5 13" xfId="415" xr:uid="{00000000-0005-0000-0000-0000A2010000}"/>
    <cellStyle name="60% - Accent5 14" xfId="416" xr:uid="{00000000-0005-0000-0000-0000A3010000}"/>
    <cellStyle name="60% - Accent5 15" xfId="417" xr:uid="{00000000-0005-0000-0000-0000A4010000}"/>
    <cellStyle name="60% - Accent5 16" xfId="418" xr:uid="{00000000-0005-0000-0000-0000A5010000}"/>
    <cellStyle name="60% - Accent5 17" xfId="419" xr:uid="{00000000-0005-0000-0000-0000A6010000}"/>
    <cellStyle name="60% - Accent5 18" xfId="420" xr:uid="{00000000-0005-0000-0000-0000A7010000}"/>
    <cellStyle name="60% - Accent5 19" xfId="421" xr:uid="{00000000-0005-0000-0000-0000A8010000}"/>
    <cellStyle name="60% - Accent5 2" xfId="422" xr:uid="{00000000-0005-0000-0000-0000A9010000}"/>
    <cellStyle name="60% - Accent5 20" xfId="423" xr:uid="{00000000-0005-0000-0000-0000AA010000}"/>
    <cellStyle name="60% - Accent5 21" xfId="424" xr:uid="{00000000-0005-0000-0000-0000AB010000}"/>
    <cellStyle name="60% - Accent5 22" xfId="425" xr:uid="{00000000-0005-0000-0000-0000AC010000}"/>
    <cellStyle name="60% - Accent5 23" xfId="426" xr:uid="{00000000-0005-0000-0000-0000AD010000}"/>
    <cellStyle name="60% - Accent5 24" xfId="427" xr:uid="{00000000-0005-0000-0000-0000AE010000}"/>
    <cellStyle name="60% - Accent5 25" xfId="428" xr:uid="{00000000-0005-0000-0000-0000AF010000}"/>
    <cellStyle name="60% - Accent5 26" xfId="429" xr:uid="{00000000-0005-0000-0000-0000B0010000}"/>
    <cellStyle name="60% - Accent5 27" xfId="430" xr:uid="{00000000-0005-0000-0000-0000B1010000}"/>
    <cellStyle name="60% - Accent5 28" xfId="431" xr:uid="{00000000-0005-0000-0000-0000B2010000}"/>
    <cellStyle name="60% - Accent5 29" xfId="432" xr:uid="{00000000-0005-0000-0000-0000B3010000}"/>
    <cellStyle name="60% - Accent5 3" xfId="433" xr:uid="{00000000-0005-0000-0000-0000B4010000}"/>
    <cellStyle name="60% - Accent5 4" xfId="434" xr:uid="{00000000-0005-0000-0000-0000B5010000}"/>
    <cellStyle name="60% - Accent5 5" xfId="435" xr:uid="{00000000-0005-0000-0000-0000B6010000}"/>
    <cellStyle name="60% - Accent5 6" xfId="436" xr:uid="{00000000-0005-0000-0000-0000B7010000}"/>
    <cellStyle name="60% - Accent5 7" xfId="437" xr:uid="{00000000-0005-0000-0000-0000B8010000}"/>
    <cellStyle name="60% - Accent5 8" xfId="438" xr:uid="{00000000-0005-0000-0000-0000B9010000}"/>
    <cellStyle name="60% - Accent5 9" xfId="439" xr:uid="{00000000-0005-0000-0000-0000BA010000}"/>
    <cellStyle name="60% - Accent6" xfId="440" xr:uid="{00000000-0005-0000-0000-0000BB010000}"/>
    <cellStyle name="60% - Accent6 10" xfId="441" xr:uid="{00000000-0005-0000-0000-0000BC010000}"/>
    <cellStyle name="60% - Accent6 11" xfId="442" xr:uid="{00000000-0005-0000-0000-0000BD010000}"/>
    <cellStyle name="60% - Accent6 12" xfId="443" xr:uid="{00000000-0005-0000-0000-0000BE010000}"/>
    <cellStyle name="60% - Accent6 13" xfId="444" xr:uid="{00000000-0005-0000-0000-0000BF010000}"/>
    <cellStyle name="60% - Accent6 14" xfId="445" xr:uid="{00000000-0005-0000-0000-0000C0010000}"/>
    <cellStyle name="60% - Accent6 15" xfId="446" xr:uid="{00000000-0005-0000-0000-0000C1010000}"/>
    <cellStyle name="60% - Accent6 16" xfId="447" xr:uid="{00000000-0005-0000-0000-0000C2010000}"/>
    <cellStyle name="60% - Accent6 17" xfId="448" xr:uid="{00000000-0005-0000-0000-0000C3010000}"/>
    <cellStyle name="60% - Accent6 18" xfId="449" xr:uid="{00000000-0005-0000-0000-0000C4010000}"/>
    <cellStyle name="60% - Accent6 19" xfId="450" xr:uid="{00000000-0005-0000-0000-0000C5010000}"/>
    <cellStyle name="60% - Accent6 2" xfId="451" xr:uid="{00000000-0005-0000-0000-0000C6010000}"/>
    <cellStyle name="60% - Accent6 20" xfId="452" xr:uid="{00000000-0005-0000-0000-0000C7010000}"/>
    <cellStyle name="60% - Accent6 21" xfId="453" xr:uid="{00000000-0005-0000-0000-0000C8010000}"/>
    <cellStyle name="60% - Accent6 22" xfId="454" xr:uid="{00000000-0005-0000-0000-0000C9010000}"/>
    <cellStyle name="60% - Accent6 23" xfId="455" xr:uid="{00000000-0005-0000-0000-0000CA010000}"/>
    <cellStyle name="60% - Accent6 24" xfId="456" xr:uid="{00000000-0005-0000-0000-0000CB010000}"/>
    <cellStyle name="60% - Accent6 25" xfId="457" xr:uid="{00000000-0005-0000-0000-0000CC010000}"/>
    <cellStyle name="60% - Accent6 26" xfId="458" xr:uid="{00000000-0005-0000-0000-0000CD010000}"/>
    <cellStyle name="60% - Accent6 27" xfId="459" xr:uid="{00000000-0005-0000-0000-0000CE010000}"/>
    <cellStyle name="60% - Accent6 28" xfId="460" xr:uid="{00000000-0005-0000-0000-0000CF010000}"/>
    <cellStyle name="60% - Accent6 29" xfId="461" xr:uid="{00000000-0005-0000-0000-0000D0010000}"/>
    <cellStyle name="60% - Accent6 3" xfId="462" xr:uid="{00000000-0005-0000-0000-0000D1010000}"/>
    <cellStyle name="60% - Accent6 4" xfId="463" xr:uid="{00000000-0005-0000-0000-0000D2010000}"/>
    <cellStyle name="60% - Accent6 5" xfId="464" xr:uid="{00000000-0005-0000-0000-0000D3010000}"/>
    <cellStyle name="60% - Accent6 6" xfId="465" xr:uid="{00000000-0005-0000-0000-0000D4010000}"/>
    <cellStyle name="60% - Accent6 7" xfId="466" xr:uid="{00000000-0005-0000-0000-0000D5010000}"/>
    <cellStyle name="60% - Accent6 8" xfId="467" xr:uid="{00000000-0005-0000-0000-0000D6010000}"/>
    <cellStyle name="60% - Accent6 9" xfId="468" xr:uid="{00000000-0005-0000-0000-0000D7010000}"/>
    <cellStyle name="Accent1" xfId="470" xr:uid="{00000000-0005-0000-0000-0000D9010000}"/>
    <cellStyle name="Accent1 10" xfId="471" xr:uid="{00000000-0005-0000-0000-0000DA010000}"/>
    <cellStyle name="Accent1 11" xfId="472" xr:uid="{00000000-0005-0000-0000-0000DB010000}"/>
    <cellStyle name="Accent1 12" xfId="473" xr:uid="{00000000-0005-0000-0000-0000DC010000}"/>
    <cellStyle name="Accent1 13" xfId="474" xr:uid="{00000000-0005-0000-0000-0000DD010000}"/>
    <cellStyle name="Accent1 14" xfId="475" xr:uid="{00000000-0005-0000-0000-0000DE010000}"/>
    <cellStyle name="Accent1 15" xfId="476" xr:uid="{00000000-0005-0000-0000-0000DF010000}"/>
    <cellStyle name="Accent1 16" xfId="477" xr:uid="{00000000-0005-0000-0000-0000E0010000}"/>
    <cellStyle name="Accent1 17" xfId="478" xr:uid="{00000000-0005-0000-0000-0000E1010000}"/>
    <cellStyle name="Accent1 18" xfId="479" xr:uid="{00000000-0005-0000-0000-0000E2010000}"/>
    <cellStyle name="Accent1 19" xfId="480" xr:uid="{00000000-0005-0000-0000-0000E3010000}"/>
    <cellStyle name="Accent1 2" xfId="481" xr:uid="{00000000-0005-0000-0000-0000E4010000}"/>
    <cellStyle name="Accent1 20" xfId="482" xr:uid="{00000000-0005-0000-0000-0000E5010000}"/>
    <cellStyle name="Accent1 21" xfId="483" xr:uid="{00000000-0005-0000-0000-0000E6010000}"/>
    <cellStyle name="Accent1 22" xfId="484" xr:uid="{00000000-0005-0000-0000-0000E7010000}"/>
    <cellStyle name="Accent1 23" xfId="485" xr:uid="{00000000-0005-0000-0000-0000E8010000}"/>
    <cellStyle name="Accent1 24" xfId="486" xr:uid="{00000000-0005-0000-0000-0000E9010000}"/>
    <cellStyle name="Accent1 25" xfId="487" xr:uid="{00000000-0005-0000-0000-0000EA010000}"/>
    <cellStyle name="Accent1 26" xfId="488" xr:uid="{00000000-0005-0000-0000-0000EB010000}"/>
    <cellStyle name="Accent1 27" xfId="489" xr:uid="{00000000-0005-0000-0000-0000EC010000}"/>
    <cellStyle name="Accent1 28" xfId="490" xr:uid="{00000000-0005-0000-0000-0000ED010000}"/>
    <cellStyle name="Accent1 29" xfId="491" xr:uid="{00000000-0005-0000-0000-0000EE010000}"/>
    <cellStyle name="Accent1 3" xfId="492" xr:uid="{00000000-0005-0000-0000-0000EF010000}"/>
    <cellStyle name="Accent1 4" xfId="493" xr:uid="{00000000-0005-0000-0000-0000F0010000}"/>
    <cellStyle name="Accent1 5" xfId="494" xr:uid="{00000000-0005-0000-0000-0000F1010000}"/>
    <cellStyle name="Accent1 6" xfId="495" xr:uid="{00000000-0005-0000-0000-0000F2010000}"/>
    <cellStyle name="Accent1 7" xfId="496" xr:uid="{00000000-0005-0000-0000-0000F3010000}"/>
    <cellStyle name="Accent1 8" xfId="497" xr:uid="{00000000-0005-0000-0000-0000F4010000}"/>
    <cellStyle name="Accent1 9" xfId="498" xr:uid="{00000000-0005-0000-0000-0000F5010000}"/>
    <cellStyle name="Accent2" xfId="499" xr:uid="{00000000-0005-0000-0000-0000F6010000}"/>
    <cellStyle name="Accent2 10" xfId="500" xr:uid="{00000000-0005-0000-0000-0000F7010000}"/>
    <cellStyle name="Accent2 11" xfId="501" xr:uid="{00000000-0005-0000-0000-0000F8010000}"/>
    <cellStyle name="Accent2 12" xfId="502" xr:uid="{00000000-0005-0000-0000-0000F9010000}"/>
    <cellStyle name="Accent2 13" xfId="503" xr:uid="{00000000-0005-0000-0000-0000FA010000}"/>
    <cellStyle name="Accent2 14" xfId="504" xr:uid="{00000000-0005-0000-0000-0000FB010000}"/>
    <cellStyle name="Accent2 15" xfId="505" xr:uid="{00000000-0005-0000-0000-0000FC010000}"/>
    <cellStyle name="Accent2 16" xfId="506" xr:uid="{00000000-0005-0000-0000-0000FD010000}"/>
    <cellStyle name="Accent2 17" xfId="507" xr:uid="{00000000-0005-0000-0000-0000FE010000}"/>
    <cellStyle name="Accent2 18" xfId="508" xr:uid="{00000000-0005-0000-0000-0000FF010000}"/>
    <cellStyle name="Accent2 19" xfId="509" xr:uid="{00000000-0005-0000-0000-000000020000}"/>
    <cellStyle name="Accent2 2" xfId="510" xr:uid="{00000000-0005-0000-0000-000001020000}"/>
    <cellStyle name="Accent2 20" xfId="511" xr:uid="{00000000-0005-0000-0000-000002020000}"/>
    <cellStyle name="Accent2 21" xfId="512" xr:uid="{00000000-0005-0000-0000-000003020000}"/>
    <cellStyle name="Accent2 22" xfId="513" xr:uid="{00000000-0005-0000-0000-000004020000}"/>
    <cellStyle name="Accent2 23" xfId="514" xr:uid="{00000000-0005-0000-0000-000005020000}"/>
    <cellStyle name="Accent2 24" xfId="515" xr:uid="{00000000-0005-0000-0000-000006020000}"/>
    <cellStyle name="Accent2 25" xfId="516" xr:uid="{00000000-0005-0000-0000-000007020000}"/>
    <cellStyle name="Accent2 26" xfId="517" xr:uid="{00000000-0005-0000-0000-000008020000}"/>
    <cellStyle name="Accent2 27" xfId="518" xr:uid="{00000000-0005-0000-0000-000009020000}"/>
    <cellStyle name="Accent2 28" xfId="519" xr:uid="{00000000-0005-0000-0000-00000A020000}"/>
    <cellStyle name="Accent2 29" xfId="520" xr:uid="{00000000-0005-0000-0000-00000B020000}"/>
    <cellStyle name="Accent2 3" xfId="521" xr:uid="{00000000-0005-0000-0000-00000C020000}"/>
    <cellStyle name="Accent2 4" xfId="522" xr:uid="{00000000-0005-0000-0000-00000D020000}"/>
    <cellStyle name="Accent2 5" xfId="523" xr:uid="{00000000-0005-0000-0000-00000E020000}"/>
    <cellStyle name="Accent2 6" xfId="524" xr:uid="{00000000-0005-0000-0000-00000F020000}"/>
    <cellStyle name="Accent2 7" xfId="525" xr:uid="{00000000-0005-0000-0000-000010020000}"/>
    <cellStyle name="Accent2 8" xfId="526" xr:uid="{00000000-0005-0000-0000-000011020000}"/>
    <cellStyle name="Accent2 9" xfId="527" xr:uid="{00000000-0005-0000-0000-000012020000}"/>
    <cellStyle name="Accent3" xfId="528" xr:uid="{00000000-0005-0000-0000-000013020000}"/>
    <cellStyle name="Accent3 10" xfId="529" xr:uid="{00000000-0005-0000-0000-000014020000}"/>
    <cellStyle name="Accent3 11" xfId="530" xr:uid="{00000000-0005-0000-0000-000015020000}"/>
    <cellStyle name="Accent3 12" xfId="531" xr:uid="{00000000-0005-0000-0000-000016020000}"/>
    <cellStyle name="Accent3 13" xfId="532" xr:uid="{00000000-0005-0000-0000-000017020000}"/>
    <cellStyle name="Accent3 14" xfId="533" xr:uid="{00000000-0005-0000-0000-000018020000}"/>
    <cellStyle name="Accent3 15" xfId="534" xr:uid="{00000000-0005-0000-0000-000019020000}"/>
    <cellStyle name="Accent3 16" xfId="535" xr:uid="{00000000-0005-0000-0000-00001A020000}"/>
    <cellStyle name="Accent3 17" xfId="536" xr:uid="{00000000-0005-0000-0000-00001B020000}"/>
    <cellStyle name="Accent3 18" xfId="537" xr:uid="{00000000-0005-0000-0000-00001C020000}"/>
    <cellStyle name="Accent3 19" xfId="538" xr:uid="{00000000-0005-0000-0000-00001D020000}"/>
    <cellStyle name="Accent3 2" xfId="539" xr:uid="{00000000-0005-0000-0000-00001E020000}"/>
    <cellStyle name="Accent3 20" xfId="540" xr:uid="{00000000-0005-0000-0000-00001F020000}"/>
    <cellStyle name="Accent3 21" xfId="541" xr:uid="{00000000-0005-0000-0000-000020020000}"/>
    <cellStyle name="Accent3 22" xfId="542" xr:uid="{00000000-0005-0000-0000-000021020000}"/>
    <cellStyle name="Accent3 23" xfId="543" xr:uid="{00000000-0005-0000-0000-000022020000}"/>
    <cellStyle name="Accent3 24" xfId="544" xr:uid="{00000000-0005-0000-0000-000023020000}"/>
    <cellStyle name="Accent3 25" xfId="545" xr:uid="{00000000-0005-0000-0000-000024020000}"/>
    <cellStyle name="Accent3 26" xfId="546" xr:uid="{00000000-0005-0000-0000-000025020000}"/>
    <cellStyle name="Accent3 27" xfId="547" xr:uid="{00000000-0005-0000-0000-000026020000}"/>
    <cellStyle name="Accent3 28" xfId="548" xr:uid="{00000000-0005-0000-0000-000027020000}"/>
    <cellStyle name="Accent3 29" xfId="549" xr:uid="{00000000-0005-0000-0000-000028020000}"/>
    <cellStyle name="Accent3 3" xfId="550" xr:uid="{00000000-0005-0000-0000-000029020000}"/>
    <cellStyle name="Accent3 4" xfId="551" xr:uid="{00000000-0005-0000-0000-00002A020000}"/>
    <cellStyle name="Accent3 5" xfId="552" xr:uid="{00000000-0005-0000-0000-00002B020000}"/>
    <cellStyle name="Accent3 6" xfId="553" xr:uid="{00000000-0005-0000-0000-00002C020000}"/>
    <cellStyle name="Accent3 7" xfId="554" xr:uid="{00000000-0005-0000-0000-00002D020000}"/>
    <cellStyle name="Accent3 8" xfId="555" xr:uid="{00000000-0005-0000-0000-00002E020000}"/>
    <cellStyle name="Accent3 9" xfId="556" xr:uid="{00000000-0005-0000-0000-00002F020000}"/>
    <cellStyle name="Accent4" xfId="557" xr:uid="{00000000-0005-0000-0000-000030020000}"/>
    <cellStyle name="Accent4 10" xfId="558" xr:uid="{00000000-0005-0000-0000-000031020000}"/>
    <cellStyle name="Accent4 11" xfId="559" xr:uid="{00000000-0005-0000-0000-000032020000}"/>
    <cellStyle name="Accent4 12" xfId="560" xr:uid="{00000000-0005-0000-0000-000033020000}"/>
    <cellStyle name="Accent4 13" xfId="561" xr:uid="{00000000-0005-0000-0000-000034020000}"/>
    <cellStyle name="Accent4 14" xfId="562" xr:uid="{00000000-0005-0000-0000-000035020000}"/>
    <cellStyle name="Accent4 15" xfId="563" xr:uid="{00000000-0005-0000-0000-000036020000}"/>
    <cellStyle name="Accent4 16" xfId="564" xr:uid="{00000000-0005-0000-0000-000037020000}"/>
    <cellStyle name="Accent4 17" xfId="565" xr:uid="{00000000-0005-0000-0000-000038020000}"/>
    <cellStyle name="Accent4 18" xfId="566" xr:uid="{00000000-0005-0000-0000-000039020000}"/>
    <cellStyle name="Accent4 19" xfId="567" xr:uid="{00000000-0005-0000-0000-00003A020000}"/>
    <cellStyle name="Accent4 2" xfId="568" xr:uid="{00000000-0005-0000-0000-00003B020000}"/>
    <cellStyle name="Accent4 20" xfId="569" xr:uid="{00000000-0005-0000-0000-00003C020000}"/>
    <cellStyle name="Accent4 21" xfId="570" xr:uid="{00000000-0005-0000-0000-00003D020000}"/>
    <cellStyle name="Accent4 22" xfId="571" xr:uid="{00000000-0005-0000-0000-00003E020000}"/>
    <cellStyle name="Accent4 23" xfId="572" xr:uid="{00000000-0005-0000-0000-00003F020000}"/>
    <cellStyle name="Accent4 24" xfId="573" xr:uid="{00000000-0005-0000-0000-000040020000}"/>
    <cellStyle name="Accent4 25" xfId="574" xr:uid="{00000000-0005-0000-0000-000041020000}"/>
    <cellStyle name="Accent4 26" xfId="575" xr:uid="{00000000-0005-0000-0000-000042020000}"/>
    <cellStyle name="Accent4 27" xfId="576" xr:uid="{00000000-0005-0000-0000-000043020000}"/>
    <cellStyle name="Accent4 28" xfId="577" xr:uid="{00000000-0005-0000-0000-000044020000}"/>
    <cellStyle name="Accent4 29" xfId="578" xr:uid="{00000000-0005-0000-0000-000045020000}"/>
    <cellStyle name="Accent4 3" xfId="579" xr:uid="{00000000-0005-0000-0000-000046020000}"/>
    <cellStyle name="Accent4 4" xfId="580" xr:uid="{00000000-0005-0000-0000-000047020000}"/>
    <cellStyle name="Accent4 5" xfId="581" xr:uid="{00000000-0005-0000-0000-000048020000}"/>
    <cellStyle name="Accent4 6" xfId="582" xr:uid="{00000000-0005-0000-0000-000049020000}"/>
    <cellStyle name="Accent4 7" xfId="583" xr:uid="{00000000-0005-0000-0000-00004A020000}"/>
    <cellStyle name="Accent4 8" xfId="584" xr:uid="{00000000-0005-0000-0000-00004B020000}"/>
    <cellStyle name="Accent4 9" xfId="585" xr:uid="{00000000-0005-0000-0000-00004C020000}"/>
    <cellStyle name="Accent5" xfId="586" xr:uid="{00000000-0005-0000-0000-00004D020000}"/>
    <cellStyle name="Accent6" xfId="587" xr:uid="{00000000-0005-0000-0000-00004E020000}"/>
    <cellStyle name="Accent6 10" xfId="588" xr:uid="{00000000-0005-0000-0000-00004F020000}"/>
    <cellStyle name="Accent6 11" xfId="589" xr:uid="{00000000-0005-0000-0000-000050020000}"/>
    <cellStyle name="Accent6 12" xfId="590" xr:uid="{00000000-0005-0000-0000-000051020000}"/>
    <cellStyle name="Accent6 13" xfId="591" xr:uid="{00000000-0005-0000-0000-000052020000}"/>
    <cellStyle name="Accent6 14" xfId="592" xr:uid="{00000000-0005-0000-0000-000053020000}"/>
    <cellStyle name="Accent6 15" xfId="593" xr:uid="{00000000-0005-0000-0000-000054020000}"/>
    <cellStyle name="Accent6 16" xfId="594" xr:uid="{00000000-0005-0000-0000-000055020000}"/>
    <cellStyle name="Accent6 17" xfId="595" xr:uid="{00000000-0005-0000-0000-000056020000}"/>
    <cellStyle name="Accent6 18" xfId="596" xr:uid="{00000000-0005-0000-0000-000057020000}"/>
    <cellStyle name="Accent6 19" xfId="597" xr:uid="{00000000-0005-0000-0000-000058020000}"/>
    <cellStyle name="Accent6 2" xfId="598" xr:uid="{00000000-0005-0000-0000-000059020000}"/>
    <cellStyle name="Accent6 20" xfId="599" xr:uid="{00000000-0005-0000-0000-00005A020000}"/>
    <cellStyle name="Accent6 21" xfId="600" xr:uid="{00000000-0005-0000-0000-00005B020000}"/>
    <cellStyle name="Accent6 22" xfId="601" xr:uid="{00000000-0005-0000-0000-00005C020000}"/>
    <cellStyle name="Accent6 23" xfId="602" xr:uid="{00000000-0005-0000-0000-00005D020000}"/>
    <cellStyle name="Accent6 24" xfId="603" xr:uid="{00000000-0005-0000-0000-00005E020000}"/>
    <cellStyle name="Accent6 25" xfId="604" xr:uid="{00000000-0005-0000-0000-00005F020000}"/>
    <cellStyle name="Accent6 26" xfId="605" xr:uid="{00000000-0005-0000-0000-000060020000}"/>
    <cellStyle name="Accent6 27" xfId="606" xr:uid="{00000000-0005-0000-0000-000061020000}"/>
    <cellStyle name="Accent6 28" xfId="607" xr:uid="{00000000-0005-0000-0000-000062020000}"/>
    <cellStyle name="Accent6 29" xfId="608" xr:uid="{00000000-0005-0000-0000-000063020000}"/>
    <cellStyle name="Accent6 3" xfId="609" xr:uid="{00000000-0005-0000-0000-000064020000}"/>
    <cellStyle name="Accent6 4" xfId="610" xr:uid="{00000000-0005-0000-0000-000065020000}"/>
    <cellStyle name="Accent6 5" xfId="611" xr:uid="{00000000-0005-0000-0000-000066020000}"/>
    <cellStyle name="Accent6 6" xfId="612" xr:uid="{00000000-0005-0000-0000-000067020000}"/>
    <cellStyle name="Accent6 7" xfId="613" xr:uid="{00000000-0005-0000-0000-000068020000}"/>
    <cellStyle name="Accent6 8" xfId="614" xr:uid="{00000000-0005-0000-0000-000069020000}"/>
    <cellStyle name="Accent6 9" xfId="615" xr:uid="{00000000-0005-0000-0000-00006A020000}"/>
    <cellStyle name="Bad 1" xfId="616" xr:uid="{00000000-0005-0000-0000-00006B020000}"/>
    <cellStyle name="Bad 10" xfId="617" xr:uid="{00000000-0005-0000-0000-00006C020000}"/>
    <cellStyle name="Bad 11" xfId="618" xr:uid="{00000000-0005-0000-0000-00006D020000}"/>
    <cellStyle name="Bad 12" xfId="619" xr:uid="{00000000-0005-0000-0000-00006E020000}"/>
    <cellStyle name="Bad 13" xfId="620" xr:uid="{00000000-0005-0000-0000-00006F020000}"/>
    <cellStyle name="Bad 14" xfId="621" xr:uid="{00000000-0005-0000-0000-000070020000}"/>
    <cellStyle name="Bad 15" xfId="622" xr:uid="{00000000-0005-0000-0000-000071020000}"/>
    <cellStyle name="Bad 16" xfId="623" xr:uid="{00000000-0005-0000-0000-000072020000}"/>
    <cellStyle name="Bad 17" xfId="624" xr:uid="{00000000-0005-0000-0000-000073020000}"/>
    <cellStyle name="Bad 18" xfId="625" xr:uid="{00000000-0005-0000-0000-000074020000}"/>
    <cellStyle name="Bad 19" xfId="626" xr:uid="{00000000-0005-0000-0000-000075020000}"/>
    <cellStyle name="Bad 2" xfId="627" xr:uid="{00000000-0005-0000-0000-000076020000}"/>
    <cellStyle name="Bad 20" xfId="628" xr:uid="{00000000-0005-0000-0000-000077020000}"/>
    <cellStyle name="Bad 21" xfId="629" xr:uid="{00000000-0005-0000-0000-000078020000}"/>
    <cellStyle name="Bad 22" xfId="630" xr:uid="{00000000-0005-0000-0000-000079020000}"/>
    <cellStyle name="Bad 23" xfId="631" xr:uid="{00000000-0005-0000-0000-00007A020000}"/>
    <cellStyle name="Bad 24" xfId="632" xr:uid="{00000000-0005-0000-0000-00007B020000}"/>
    <cellStyle name="Bad 25" xfId="633" xr:uid="{00000000-0005-0000-0000-00007C020000}"/>
    <cellStyle name="Bad 26" xfId="634" xr:uid="{00000000-0005-0000-0000-00007D020000}"/>
    <cellStyle name="Bad 27" xfId="635" xr:uid="{00000000-0005-0000-0000-00007E020000}"/>
    <cellStyle name="Bad 28" xfId="636" xr:uid="{00000000-0005-0000-0000-00007F020000}"/>
    <cellStyle name="Bad 29" xfId="637" xr:uid="{00000000-0005-0000-0000-000080020000}"/>
    <cellStyle name="Bad 3" xfId="638" xr:uid="{00000000-0005-0000-0000-000081020000}"/>
    <cellStyle name="Bad 4" xfId="639" xr:uid="{00000000-0005-0000-0000-000082020000}"/>
    <cellStyle name="Bad 5" xfId="640" xr:uid="{00000000-0005-0000-0000-000083020000}"/>
    <cellStyle name="Bad 6" xfId="641" xr:uid="{00000000-0005-0000-0000-000084020000}"/>
    <cellStyle name="Bad 7" xfId="642" xr:uid="{00000000-0005-0000-0000-000085020000}"/>
    <cellStyle name="Bad 8" xfId="643" xr:uid="{00000000-0005-0000-0000-000086020000}"/>
    <cellStyle name="Bad 9" xfId="644" xr:uid="{00000000-0005-0000-0000-000087020000}"/>
    <cellStyle name="Calculation" xfId="645" xr:uid="{00000000-0005-0000-0000-000088020000}"/>
    <cellStyle name="Calculation 10" xfId="646" xr:uid="{00000000-0005-0000-0000-000089020000}"/>
    <cellStyle name="Calculation 11" xfId="647" xr:uid="{00000000-0005-0000-0000-00008A020000}"/>
    <cellStyle name="Calculation 12" xfId="648" xr:uid="{00000000-0005-0000-0000-00008B020000}"/>
    <cellStyle name="Calculation 13" xfId="649" xr:uid="{00000000-0005-0000-0000-00008C020000}"/>
    <cellStyle name="Calculation 14" xfId="650" xr:uid="{00000000-0005-0000-0000-00008D020000}"/>
    <cellStyle name="Calculation 15" xfId="651" xr:uid="{00000000-0005-0000-0000-00008E020000}"/>
    <cellStyle name="Calculation 16" xfId="652" xr:uid="{00000000-0005-0000-0000-00008F020000}"/>
    <cellStyle name="Calculation 17" xfId="653" xr:uid="{00000000-0005-0000-0000-000090020000}"/>
    <cellStyle name="Calculation 18" xfId="654" xr:uid="{00000000-0005-0000-0000-000091020000}"/>
    <cellStyle name="Calculation 19" xfId="655" xr:uid="{00000000-0005-0000-0000-000092020000}"/>
    <cellStyle name="Calculation 2" xfId="656" xr:uid="{00000000-0005-0000-0000-000093020000}"/>
    <cellStyle name="Calculation 20" xfId="657" xr:uid="{00000000-0005-0000-0000-000094020000}"/>
    <cellStyle name="Calculation 21" xfId="658" xr:uid="{00000000-0005-0000-0000-000095020000}"/>
    <cellStyle name="Calculation 22" xfId="659" xr:uid="{00000000-0005-0000-0000-000096020000}"/>
    <cellStyle name="Calculation 23" xfId="660" xr:uid="{00000000-0005-0000-0000-000097020000}"/>
    <cellStyle name="Calculation 24" xfId="661" xr:uid="{00000000-0005-0000-0000-000098020000}"/>
    <cellStyle name="Calculation 25" xfId="662" xr:uid="{00000000-0005-0000-0000-000099020000}"/>
    <cellStyle name="Calculation 26" xfId="663" xr:uid="{00000000-0005-0000-0000-00009A020000}"/>
    <cellStyle name="Calculation 27" xfId="664" xr:uid="{00000000-0005-0000-0000-00009B020000}"/>
    <cellStyle name="Calculation 28" xfId="665" xr:uid="{00000000-0005-0000-0000-00009C020000}"/>
    <cellStyle name="Calculation 29" xfId="666" xr:uid="{00000000-0005-0000-0000-00009D020000}"/>
    <cellStyle name="Calculation 3" xfId="667" xr:uid="{00000000-0005-0000-0000-00009E020000}"/>
    <cellStyle name="Calculation 4" xfId="668" xr:uid="{00000000-0005-0000-0000-00009F020000}"/>
    <cellStyle name="Calculation 5" xfId="669" xr:uid="{00000000-0005-0000-0000-0000A0020000}"/>
    <cellStyle name="Calculation 6" xfId="670" xr:uid="{00000000-0005-0000-0000-0000A1020000}"/>
    <cellStyle name="Calculation 7" xfId="671" xr:uid="{00000000-0005-0000-0000-0000A2020000}"/>
    <cellStyle name="Calculation 8" xfId="672" xr:uid="{00000000-0005-0000-0000-0000A3020000}"/>
    <cellStyle name="Calculation 9" xfId="673" xr:uid="{00000000-0005-0000-0000-0000A4020000}"/>
    <cellStyle name="Check Cell" xfId="674" xr:uid="{00000000-0005-0000-0000-0000A5020000}"/>
    <cellStyle name="Claudio" xfId="675" xr:uid="{00000000-0005-0000-0000-0000A6020000}"/>
    <cellStyle name="Comma 2" xfId="676" xr:uid="{00000000-0005-0000-0000-0000A7020000}"/>
    <cellStyle name="Comma0" xfId="677" xr:uid="{00000000-0005-0000-0000-0000A8020000}"/>
    <cellStyle name="Currency0" xfId="678" xr:uid="{00000000-0005-0000-0000-0000A9020000}"/>
    <cellStyle name="Date" xfId="679" xr:uid="{00000000-0005-0000-0000-0000AA020000}"/>
    <cellStyle name="Estilo 1" xfId="680" xr:uid="{00000000-0005-0000-0000-0000AB020000}"/>
    <cellStyle name="Euro" xfId="681" xr:uid="{00000000-0005-0000-0000-0000AC020000}"/>
    <cellStyle name="Euro 10" xfId="682" xr:uid="{00000000-0005-0000-0000-0000AD020000}"/>
    <cellStyle name="Euro 11" xfId="683" xr:uid="{00000000-0005-0000-0000-0000AE020000}"/>
    <cellStyle name="Euro 12" xfId="684" xr:uid="{00000000-0005-0000-0000-0000AF020000}"/>
    <cellStyle name="Euro 13" xfId="685" xr:uid="{00000000-0005-0000-0000-0000B0020000}"/>
    <cellStyle name="Euro 14" xfId="686" xr:uid="{00000000-0005-0000-0000-0000B1020000}"/>
    <cellStyle name="Euro 15" xfId="687" xr:uid="{00000000-0005-0000-0000-0000B2020000}"/>
    <cellStyle name="Euro 16" xfId="688" xr:uid="{00000000-0005-0000-0000-0000B3020000}"/>
    <cellStyle name="Euro 17" xfId="689" xr:uid="{00000000-0005-0000-0000-0000B4020000}"/>
    <cellStyle name="Euro 18" xfId="690" xr:uid="{00000000-0005-0000-0000-0000B5020000}"/>
    <cellStyle name="Euro 19" xfId="691" xr:uid="{00000000-0005-0000-0000-0000B6020000}"/>
    <cellStyle name="Euro 2" xfId="692" xr:uid="{00000000-0005-0000-0000-0000B7020000}"/>
    <cellStyle name="Euro 20" xfId="693" xr:uid="{00000000-0005-0000-0000-0000B8020000}"/>
    <cellStyle name="Euro 21" xfId="694" xr:uid="{00000000-0005-0000-0000-0000B9020000}"/>
    <cellStyle name="Euro 22" xfId="695" xr:uid="{00000000-0005-0000-0000-0000BA020000}"/>
    <cellStyle name="Euro 23" xfId="696" xr:uid="{00000000-0005-0000-0000-0000BB020000}"/>
    <cellStyle name="Euro 24" xfId="697" xr:uid="{00000000-0005-0000-0000-0000BC020000}"/>
    <cellStyle name="Euro 25" xfId="698" xr:uid="{00000000-0005-0000-0000-0000BD020000}"/>
    <cellStyle name="Euro 26" xfId="699" xr:uid="{00000000-0005-0000-0000-0000BE020000}"/>
    <cellStyle name="Euro 27" xfId="700" xr:uid="{00000000-0005-0000-0000-0000BF020000}"/>
    <cellStyle name="Euro 28" xfId="701" xr:uid="{00000000-0005-0000-0000-0000C0020000}"/>
    <cellStyle name="Euro 29" xfId="702" xr:uid="{00000000-0005-0000-0000-0000C1020000}"/>
    <cellStyle name="Euro 3" xfId="703" xr:uid="{00000000-0005-0000-0000-0000C2020000}"/>
    <cellStyle name="Euro 4" xfId="704" xr:uid="{00000000-0005-0000-0000-0000C3020000}"/>
    <cellStyle name="Euro 5" xfId="705" xr:uid="{00000000-0005-0000-0000-0000C4020000}"/>
    <cellStyle name="Euro 6" xfId="706" xr:uid="{00000000-0005-0000-0000-0000C5020000}"/>
    <cellStyle name="Euro 7" xfId="707" xr:uid="{00000000-0005-0000-0000-0000C6020000}"/>
    <cellStyle name="Euro 8" xfId="708" xr:uid="{00000000-0005-0000-0000-0000C7020000}"/>
    <cellStyle name="Euro 9" xfId="709" xr:uid="{00000000-0005-0000-0000-0000C8020000}"/>
    <cellStyle name="Excel Built-in Comma [0]" xfId="1347" xr:uid="{00000000-0005-0000-0000-000046050000}"/>
    <cellStyle name="Excel Built-in Comma [0] 1" xfId="1346" xr:uid="{00000000-0005-0000-0000-000045050000}"/>
    <cellStyle name="Excel Built-in Currency [0]" xfId="1348" xr:uid="{00000000-0005-0000-0000-000048050000}"/>
    <cellStyle name="Explanatory Text" xfId="710" xr:uid="{00000000-0005-0000-0000-0000C9020000}"/>
    <cellStyle name="Fixed" xfId="711" xr:uid="{00000000-0005-0000-0000-0000CA020000}"/>
    <cellStyle name="Good 10" xfId="712" xr:uid="{00000000-0005-0000-0000-0000CB020000}"/>
    <cellStyle name="Good 11" xfId="713" xr:uid="{00000000-0005-0000-0000-0000CC020000}"/>
    <cellStyle name="Good 12" xfId="714" xr:uid="{00000000-0005-0000-0000-0000CD020000}"/>
    <cellStyle name="Good 13" xfId="715" xr:uid="{00000000-0005-0000-0000-0000CE020000}"/>
    <cellStyle name="Good 14" xfId="716" xr:uid="{00000000-0005-0000-0000-0000CF020000}"/>
    <cellStyle name="Good 15" xfId="717" xr:uid="{00000000-0005-0000-0000-0000D0020000}"/>
    <cellStyle name="Good 16" xfId="718" xr:uid="{00000000-0005-0000-0000-0000D1020000}"/>
    <cellStyle name="Good 17" xfId="719" xr:uid="{00000000-0005-0000-0000-0000D2020000}"/>
    <cellStyle name="Good 18" xfId="720" xr:uid="{00000000-0005-0000-0000-0000D3020000}"/>
    <cellStyle name="Good 19" xfId="721" xr:uid="{00000000-0005-0000-0000-0000D4020000}"/>
    <cellStyle name="Good 2" xfId="722" xr:uid="{00000000-0005-0000-0000-0000D5020000}"/>
    <cellStyle name="Good 20" xfId="723" xr:uid="{00000000-0005-0000-0000-0000D6020000}"/>
    <cellStyle name="Good 21" xfId="724" xr:uid="{00000000-0005-0000-0000-0000D7020000}"/>
    <cellStyle name="Good 22" xfId="725" xr:uid="{00000000-0005-0000-0000-0000D8020000}"/>
    <cellStyle name="Good 23" xfId="726" xr:uid="{00000000-0005-0000-0000-0000D9020000}"/>
    <cellStyle name="Good 24" xfId="727" xr:uid="{00000000-0005-0000-0000-0000DA020000}"/>
    <cellStyle name="Good 25" xfId="728" xr:uid="{00000000-0005-0000-0000-0000DB020000}"/>
    <cellStyle name="Good 26" xfId="729" xr:uid="{00000000-0005-0000-0000-0000DC020000}"/>
    <cellStyle name="Good 27" xfId="730" xr:uid="{00000000-0005-0000-0000-0000DD020000}"/>
    <cellStyle name="Good 28" xfId="731" xr:uid="{00000000-0005-0000-0000-0000DE020000}"/>
    <cellStyle name="Good 29" xfId="732" xr:uid="{00000000-0005-0000-0000-0000DF020000}"/>
    <cellStyle name="Good 3" xfId="733" xr:uid="{00000000-0005-0000-0000-0000E0020000}"/>
    <cellStyle name="Good 30" xfId="734" xr:uid="{00000000-0005-0000-0000-0000E1020000}"/>
    <cellStyle name="Good 4" xfId="735" xr:uid="{00000000-0005-0000-0000-0000E2020000}"/>
    <cellStyle name="Good 5" xfId="736" xr:uid="{00000000-0005-0000-0000-0000E3020000}"/>
    <cellStyle name="Good 6" xfId="737" xr:uid="{00000000-0005-0000-0000-0000E4020000}"/>
    <cellStyle name="Good 7" xfId="738" xr:uid="{00000000-0005-0000-0000-0000E5020000}"/>
    <cellStyle name="Good 8" xfId="739" xr:uid="{00000000-0005-0000-0000-0000E6020000}"/>
    <cellStyle name="Good 9" xfId="740" xr:uid="{00000000-0005-0000-0000-0000E7020000}"/>
    <cellStyle name="Heading 1 10" xfId="741" xr:uid="{00000000-0005-0000-0000-0000E8020000}"/>
    <cellStyle name="Heading 1 11" xfId="742" xr:uid="{00000000-0005-0000-0000-0000E9020000}"/>
    <cellStyle name="Heading 1 12" xfId="743" xr:uid="{00000000-0005-0000-0000-0000EA020000}"/>
    <cellStyle name="Heading 1 13" xfId="744" xr:uid="{00000000-0005-0000-0000-0000EB020000}"/>
    <cellStyle name="Heading 1 14" xfId="745" xr:uid="{00000000-0005-0000-0000-0000EC020000}"/>
    <cellStyle name="Heading 1 15" xfId="746" xr:uid="{00000000-0005-0000-0000-0000ED020000}"/>
    <cellStyle name="Heading 1 16" xfId="747" xr:uid="{00000000-0005-0000-0000-0000EE020000}"/>
    <cellStyle name="Heading 1 17" xfId="748" xr:uid="{00000000-0005-0000-0000-0000EF020000}"/>
    <cellStyle name="Heading 1 18" xfId="749" xr:uid="{00000000-0005-0000-0000-0000F0020000}"/>
    <cellStyle name="Heading 1 19" xfId="750" xr:uid="{00000000-0005-0000-0000-0000F1020000}"/>
    <cellStyle name="Heading 1 2" xfId="751" xr:uid="{00000000-0005-0000-0000-0000F2020000}"/>
    <cellStyle name="Heading 1 20" xfId="752" xr:uid="{00000000-0005-0000-0000-0000F3020000}"/>
    <cellStyle name="Heading 1 21" xfId="753" xr:uid="{00000000-0005-0000-0000-0000F4020000}"/>
    <cellStyle name="Heading 1 22" xfId="754" xr:uid="{00000000-0005-0000-0000-0000F5020000}"/>
    <cellStyle name="Heading 1 23" xfId="755" xr:uid="{00000000-0005-0000-0000-0000F6020000}"/>
    <cellStyle name="Heading 1 24" xfId="756" xr:uid="{00000000-0005-0000-0000-0000F7020000}"/>
    <cellStyle name="Heading 1 25" xfId="757" xr:uid="{00000000-0005-0000-0000-0000F8020000}"/>
    <cellStyle name="Heading 1 26" xfId="758" xr:uid="{00000000-0005-0000-0000-0000F9020000}"/>
    <cellStyle name="Heading 1 27" xfId="759" xr:uid="{00000000-0005-0000-0000-0000FA020000}"/>
    <cellStyle name="Heading 1 28" xfId="760" xr:uid="{00000000-0005-0000-0000-0000FB020000}"/>
    <cellStyle name="Heading 1 29" xfId="761" xr:uid="{00000000-0005-0000-0000-0000FC020000}"/>
    <cellStyle name="Heading 1 3" xfId="762" xr:uid="{00000000-0005-0000-0000-0000FD020000}"/>
    <cellStyle name="Heading 1 31" xfId="763" xr:uid="{00000000-0005-0000-0000-0000FE020000}"/>
    <cellStyle name="Heading 1 4" xfId="764" xr:uid="{00000000-0005-0000-0000-0000FF020000}"/>
    <cellStyle name="Heading 1 5" xfId="765" xr:uid="{00000000-0005-0000-0000-000000030000}"/>
    <cellStyle name="Heading 1 6" xfId="766" xr:uid="{00000000-0005-0000-0000-000001030000}"/>
    <cellStyle name="Heading 1 7" xfId="767" xr:uid="{00000000-0005-0000-0000-000002030000}"/>
    <cellStyle name="Heading 1 8" xfId="768" xr:uid="{00000000-0005-0000-0000-000003030000}"/>
    <cellStyle name="Heading 1 9" xfId="769" xr:uid="{00000000-0005-0000-0000-000004030000}"/>
    <cellStyle name="Heading 2 10" xfId="770" xr:uid="{00000000-0005-0000-0000-000005030000}"/>
    <cellStyle name="Heading 2 11" xfId="771" xr:uid="{00000000-0005-0000-0000-000006030000}"/>
    <cellStyle name="Heading 2 12" xfId="772" xr:uid="{00000000-0005-0000-0000-000007030000}"/>
    <cellStyle name="Heading 2 13" xfId="773" xr:uid="{00000000-0005-0000-0000-000008030000}"/>
    <cellStyle name="Heading 2 14" xfId="774" xr:uid="{00000000-0005-0000-0000-000009030000}"/>
    <cellStyle name="Heading 2 15" xfId="775" xr:uid="{00000000-0005-0000-0000-00000A030000}"/>
    <cellStyle name="Heading 2 16" xfId="776" xr:uid="{00000000-0005-0000-0000-00000B030000}"/>
    <cellStyle name="Heading 2 17" xfId="777" xr:uid="{00000000-0005-0000-0000-00000C030000}"/>
    <cellStyle name="Heading 2 18" xfId="778" xr:uid="{00000000-0005-0000-0000-00000D030000}"/>
    <cellStyle name="Heading 2 19" xfId="779" xr:uid="{00000000-0005-0000-0000-00000E030000}"/>
    <cellStyle name="Heading 2 2" xfId="780" xr:uid="{00000000-0005-0000-0000-00000F030000}"/>
    <cellStyle name="Heading 2 20" xfId="781" xr:uid="{00000000-0005-0000-0000-000010030000}"/>
    <cellStyle name="Heading 2 21" xfId="782" xr:uid="{00000000-0005-0000-0000-000011030000}"/>
    <cellStyle name="Heading 2 22" xfId="783" xr:uid="{00000000-0005-0000-0000-000012030000}"/>
    <cellStyle name="Heading 2 23" xfId="784" xr:uid="{00000000-0005-0000-0000-000013030000}"/>
    <cellStyle name="Heading 2 24" xfId="785" xr:uid="{00000000-0005-0000-0000-000014030000}"/>
    <cellStyle name="Heading 2 25" xfId="786" xr:uid="{00000000-0005-0000-0000-000015030000}"/>
    <cellStyle name="Heading 2 26" xfId="787" xr:uid="{00000000-0005-0000-0000-000016030000}"/>
    <cellStyle name="Heading 2 27" xfId="788" xr:uid="{00000000-0005-0000-0000-000017030000}"/>
    <cellStyle name="Heading 2 28" xfId="789" xr:uid="{00000000-0005-0000-0000-000018030000}"/>
    <cellStyle name="Heading 2 29" xfId="790" xr:uid="{00000000-0005-0000-0000-000019030000}"/>
    <cellStyle name="Heading 2 3" xfId="791" xr:uid="{00000000-0005-0000-0000-00001A030000}"/>
    <cellStyle name="Heading 2 32" xfId="792" xr:uid="{00000000-0005-0000-0000-00001B030000}"/>
    <cellStyle name="Heading 2 4" xfId="793" xr:uid="{00000000-0005-0000-0000-00001C030000}"/>
    <cellStyle name="Heading 2 5" xfId="794" xr:uid="{00000000-0005-0000-0000-00001D030000}"/>
    <cellStyle name="Heading 2 6" xfId="795" xr:uid="{00000000-0005-0000-0000-00001E030000}"/>
    <cellStyle name="Heading 2 7" xfId="796" xr:uid="{00000000-0005-0000-0000-00001F030000}"/>
    <cellStyle name="Heading 2 8" xfId="797" xr:uid="{00000000-0005-0000-0000-000020030000}"/>
    <cellStyle name="Heading 2 9" xfId="798" xr:uid="{00000000-0005-0000-0000-000021030000}"/>
    <cellStyle name="Heading 3" xfId="799" xr:uid="{00000000-0005-0000-0000-000022030000}"/>
    <cellStyle name="Heading 3 10" xfId="800" xr:uid="{00000000-0005-0000-0000-000023030000}"/>
    <cellStyle name="Heading 3 11" xfId="801" xr:uid="{00000000-0005-0000-0000-000024030000}"/>
    <cellStyle name="Heading 3 12" xfId="802" xr:uid="{00000000-0005-0000-0000-000025030000}"/>
    <cellStyle name="Heading 3 13" xfId="803" xr:uid="{00000000-0005-0000-0000-000026030000}"/>
    <cellStyle name="Heading 3 14" xfId="804" xr:uid="{00000000-0005-0000-0000-000027030000}"/>
    <cellStyle name="Heading 3 15" xfId="805" xr:uid="{00000000-0005-0000-0000-000028030000}"/>
    <cellStyle name="Heading 3 16" xfId="806" xr:uid="{00000000-0005-0000-0000-000029030000}"/>
    <cellStyle name="Heading 3 17" xfId="807" xr:uid="{00000000-0005-0000-0000-00002A030000}"/>
    <cellStyle name="Heading 3 18" xfId="808" xr:uid="{00000000-0005-0000-0000-00002B030000}"/>
    <cellStyle name="Heading 3 19" xfId="809" xr:uid="{00000000-0005-0000-0000-00002C030000}"/>
    <cellStyle name="Heading 3 2" xfId="810" xr:uid="{00000000-0005-0000-0000-00002D030000}"/>
    <cellStyle name="Heading 3 20" xfId="811" xr:uid="{00000000-0005-0000-0000-00002E030000}"/>
    <cellStyle name="Heading 3 21" xfId="812" xr:uid="{00000000-0005-0000-0000-00002F030000}"/>
    <cellStyle name="Heading 3 22" xfId="813" xr:uid="{00000000-0005-0000-0000-000030030000}"/>
    <cellStyle name="Heading 3 23" xfId="814" xr:uid="{00000000-0005-0000-0000-000031030000}"/>
    <cellStyle name="Heading 3 24" xfId="815" xr:uid="{00000000-0005-0000-0000-000032030000}"/>
    <cellStyle name="Heading 3 25" xfId="816" xr:uid="{00000000-0005-0000-0000-000033030000}"/>
    <cellStyle name="Heading 3 26" xfId="817" xr:uid="{00000000-0005-0000-0000-000034030000}"/>
    <cellStyle name="Heading 3 27" xfId="818" xr:uid="{00000000-0005-0000-0000-000035030000}"/>
    <cellStyle name="Heading 3 28" xfId="819" xr:uid="{00000000-0005-0000-0000-000036030000}"/>
    <cellStyle name="Heading 3 29" xfId="820" xr:uid="{00000000-0005-0000-0000-000037030000}"/>
    <cellStyle name="Heading 3 3" xfId="821" xr:uid="{00000000-0005-0000-0000-000038030000}"/>
    <cellStyle name="Heading 3 4" xfId="822" xr:uid="{00000000-0005-0000-0000-000039030000}"/>
    <cellStyle name="Heading 3 5" xfId="823" xr:uid="{00000000-0005-0000-0000-00003A030000}"/>
    <cellStyle name="Heading 3 6" xfId="824" xr:uid="{00000000-0005-0000-0000-00003B030000}"/>
    <cellStyle name="Heading 3 7" xfId="825" xr:uid="{00000000-0005-0000-0000-00003C030000}"/>
    <cellStyle name="Heading 3 8" xfId="826" xr:uid="{00000000-0005-0000-0000-00003D030000}"/>
    <cellStyle name="Heading 3 9" xfId="827" xr:uid="{00000000-0005-0000-0000-00003E030000}"/>
    <cellStyle name="Heading 4" xfId="828" xr:uid="{00000000-0005-0000-0000-00003F030000}"/>
    <cellStyle name="Heading 4 10" xfId="829" xr:uid="{00000000-0005-0000-0000-000040030000}"/>
    <cellStyle name="Heading 4 11" xfId="830" xr:uid="{00000000-0005-0000-0000-000041030000}"/>
    <cellStyle name="Heading 4 12" xfId="831" xr:uid="{00000000-0005-0000-0000-000042030000}"/>
    <cellStyle name="Heading 4 13" xfId="832" xr:uid="{00000000-0005-0000-0000-000043030000}"/>
    <cellStyle name="Heading 4 14" xfId="833" xr:uid="{00000000-0005-0000-0000-000044030000}"/>
    <cellStyle name="Heading 4 15" xfId="834" xr:uid="{00000000-0005-0000-0000-000045030000}"/>
    <cellStyle name="Heading 4 16" xfId="835" xr:uid="{00000000-0005-0000-0000-000046030000}"/>
    <cellStyle name="Heading 4 17" xfId="836" xr:uid="{00000000-0005-0000-0000-000047030000}"/>
    <cellStyle name="Heading 4 18" xfId="837" xr:uid="{00000000-0005-0000-0000-000048030000}"/>
    <cellStyle name="Heading 4 19" xfId="838" xr:uid="{00000000-0005-0000-0000-000049030000}"/>
    <cellStyle name="Heading 4 2" xfId="839" xr:uid="{00000000-0005-0000-0000-00004A030000}"/>
    <cellStyle name="Heading 4 20" xfId="840" xr:uid="{00000000-0005-0000-0000-00004B030000}"/>
    <cellStyle name="Heading 4 21" xfId="841" xr:uid="{00000000-0005-0000-0000-00004C030000}"/>
    <cellStyle name="Heading 4 22" xfId="842" xr:uid="{00000000-0005-0000-0000-00004D030000}"/>
    <cellStyle name="Heading 4 23" xfId="843" xr:uid="{00000000-0005-0000-0000-00004E030000}"/>
    <cellStyle name="Heading 4 24" xfId="844" xr:uid="{00000000-0005-0000-0000-00004F030000}"/>
    <cellStyle name="Heading 4 25" xfId="845" xr:uid="{00000000-0005-0000-0000-000050030000}"/>
    <cellStyle name="Heading 4 26" xfId="846" xr:uid="{00000000-0005-0000-0000-000051030000}"/>
    <cellStyle name="Heading 4 27" xfId="847" xr:uid="{00000000-0005-0000-0000-000052030000}"/>
    <cellStyle name="Heading 4 28" xfId="848" xr:uid="{00000000-0005-0000-0000-000053030000}"/>
    <cellStyle name="Heading 4 29" xfId="849" xr:uid="{00000000-0005-0000-0000-000054030000}"/>
    <cellStyle name="Heading 4 3" xfId="850" xr:uid="{00000000-0005-0000-0000-000055030000}"/>
    <cellStyle name="Heading 4 4" xfId="851" xr:uid="{00000000-0005-0000-0000-000056030000}"/>
    <cellStyle name="Heading 4 5" xfId="852" xr:uid="{00000000-0005-0000-0000-000057030000}"/>
    <cellStyle name="Heading 4 6" xfId="853" xr:uid="{00000000-0005-0000-0000-000058030000}"/>
    <cellStyle name="Heading 4 7" xfId="854" xr:uid="{00000000-0005-0000-0000-000059030000}"/>
    <cellStyle name="Heading 4 8" xfId="855" xr:uid="{00000000-0005-0000-0000-00005A030000}"/>
    <cellStyle name="Heading 4 9" xfId="856" xr:uid="{00000000-0005-0000-0000-00005B030000}"/>
    <cellStyle name="Hipervínculo" xfId="2" builtinId="8"/>
    <cellStyle name="Hipervínculo 2" xfId="857" xr:uid="{00000000-0005-0000-0000-00005C030000}"/>
    <cellStyle name="Input" xfId="858" xr:uid="{00000000-0005-0000-0000-00005D030000}"/>
    <cellStyle name="Input 10" xfId="859" xr:uid="{00000000-0005-0000-0000-00005E030000}"/>
    <cellStyle name="Input 11" xfId="860" xr:uid="{00000000-0005-0000-0000-00005F030000}"/>
    <cellStyle name="Input 12" xfId="861" xr:uid="{00000000-0005-0000-0000-000060030000}"/>
    <cellStyle name="Input 13" xfId="862" xr:uid="{00000000-0005-0000-0000-000061030000}"/>
    <cellStyle name="Input 14" xfId="863" xr:uid="{00000000-0005-0000-0000-000062030000}"/>
    <cellStyle name="Input 15" xfId="864" xr:uid="{00000000-0005-0000-0000-000063030000}"/>
    <cellStyle name="Input 16" xfId="865" xr:uid="{00000000-0005-0000-0000-000064030000}"/>
    <cellStyle name="Input 17" xfId="866" xr:uid="{00000000-0005-0000-0000-000065030000}"/>
    <cellStyle name="Input 18" xfId="867" xr:uid="{00000000-0005-0000-0000-000066030000}"/>
    <cellStyle name="Input 19" xfId="868" xr:uid="{00000000-0005-0000-0000-000067030000}"/>
    <cellStyle name="Input 2" xfId="869" xr:uid="{00000000-0005-0000-0000-000068030000}"/>
    <cellStyle name="Input 20" xfId="870" xr:uid="{00000000-0005-0000-0000-000069030000}"/>
    <cellStyle name="Input 21" xfId="871" xr:uid="{00000000-0005-0000-0000-00006A030000}"/>
    <cellStyle name="Input 22" xfId="872" xr:uid="{00000000-0005-0000-0000-00006B030000}"/>
    <cellStyle name="Input 23" xfId="873" xr:uid="{00000000-0005-0000-0000-00006C030000}"/>
    <cellStyle name="Input 24" xfId="874" xr:uid="{00000000-0005-0000-0000-00006D030000}"/>
    <cellStyle name="Input 25" xfId="875" xr:uid="{00000000-0005-0000-0000-00006E030000}"/>
    <cellStyle name="Input 26" xfId="876" xr:uid="{00000000-0005-0000-0000-00006F030000}"/>
    <cellStyle name="Input 27" xfId="877" xr:uid="{00000000-0005-0000-0000-000070030000}"/>
    <cellStyle name="Input 28" xfId="878" xr:uid="{00000000-0005-0000-0000-000071030000}"/>
    <cellStyle name="Input 29" xfId="879" xr:uid="{00000000-0005-0000-0000-000072030000}"/>
    <cellStyle name="Input 3" xfId="880" xr:uid="{00000000-0005-0000-0000-000073030000}"/>
    <cellStyle name="Input 4" xfId="881" xr:uid="{00000000-0005-0000-0000-000074030000}"/>
    <cellStyle name="Input 5" xfId="882" xr:uid="{00000000-0005-0000-0000-000075030000}"/>
    <cellStyle name="Input 6" xfId="883" xr:uid="{00000000-0005-0000-0000-000076030000}"/>
    <cellStyle name="Input 7" xfId="884" xr:uid="{00000000-0005-0000-0000-000077030000}"/>
    <cellStyle name="Input 8" xfId="885" xr:uid="{00000000-0005-0000-0000-000078030000}"/>
    <cellStyle name="Input 9" xfId="886" xr:uid="{00000000-0005-0000-0000-000079030000}"/>
    <cellStyle name="Linked Cell" xfId="887" xr:uid="{00000000-0005-0000-0000-00007A030000}"/>
    <cellStyle name="Linked Cell 10" xfId="888" xr:uid="{00000000-0005-0000-0000-00007B030000}"/>
    <cellStyle name="Linked Cell 11" xfId="889" xr:uid="{00000000-0005-0000-0000-00007C030000}"/>
    <cellStyle name="Linked Cell 12" xfId="890" xr:uid="{00000000-0005-0000-0000-00007D030000}"/>
    <cellStyle name="Linked Cell 13" xfId="891" xr:uid="{00000000-0005-0000-0000-00007E030000}"/>
    <cellStyle name="Linked Cell 14" xfId="892" xr:uid="{00000000-0005-0000-0000-00007F030000}"/>
    <cellStyle name="Linked Cell 15" xfId="893" xr:uid="{00000000-0005-0000-0000-000080030000}"/>
    <cellStyle name="Linked Cell 16" xfId="894" xr:uid="{00000000-0005-0000-0000-000081030000}"/>
    <cellStyle name="Linked Cell 17" xfId="895" xr:uid="{00000000-0005-0000-0000-000082030000}"/>
    <cellStyle name="Linked Cell 18" xfId="896" xr:uid="{00000000-0005-0000-0000-000083030000}"/>
    <cellStyle name="Linked Cell 19" xfId="897" xr:uid="{00000000-0005-0000-0000-000084030000}"/>
    <cellStyle name="Linked Cell 2" xfId="898" xr:uid="{00000000-0005-0000-0000-000085030000}"/>
    <cellStyle name="Linked Cell 20" xfId="899" xr:uid="{00000000-0005-0000-0000-000086030000}"/>
    <cellStyle name="Linked Cell 21" xfId="900" xr:uid="{00000000-0005-0000-0000-000087030000}"/>
    <cellStyle name="Linked Cell 22" xfId="901" xr:uid="{00000000-0005-0000-0000-000088030000}"/>
    <cellStyle name="Linked Cell 23" xfId="902" xr:uid="{00000000-0005-0000-0000-000089030000}"/>
    <cellStyle name="Linked Cell 24" xfId="903" xr:uid="{00000000-0005-0000-0000-00008A030000}"/>
    <cellStyle name="Linked Cell 25" xfId="904" xr:uid="{00000000-0005-0000-0000-00008B030000}"/>
    <cellStyle name="Linked Cell 26" xfId="905" xr:uid="{00000000-0005-0000-0000-00008C030000}"/>
    <cellStyle name="Linked Cell 27" xfId="906" xr:uid="{00000000-0005-0000-0000-00008D030000}"/>
    <cellStyle name="Linked Cell 28" xfId="907" xr:uid="{00000000-0005-0000-0000-00008E030000}"/>
    <cellStyle name="Linked Cell 29" xfId="908" xr:uid="{00000000-0005-0000-0000-00008F030000}"/>
    <cellStyle name="Linked Cell 3" xfId="909" xr:uid="{00000000-0005-0000-0000-000090030000}"/>
    <cellStyle name="Linked Cell 4" xfId="910" xr:uid="{00000000-0005-0000-0000-000091030000}"/>
    <cellStyle name="Linked Cell 5" xfId="911" xr:uid="{00000000-0005-0000-0000-000092030000}"/>
    <cellStyle name="Linked Cell 6" xfId="912" xr:uid="{00000000-0005-0000-0000-000093030000}"/>
    <cellStyle name="Linked Cell 7" xfId="913" xr:uid="{00000000-0005-0000-0000-000094030000}"/>
    <cellStyle name="Linked Cell 8" xfId="914" xr:uid="{00000000-0005-0000-0000-000095030000}"/>
    <cellStyle name="Linked Cell 9" xfId="915" xr:uid="{00000000-0005-0000-0000-000096030000}"/>
    <cellStyle name="Millares" xfId="1349" builtinId="3"/>
    <cellStyle name="Millares 10" xfId="916" xr:uid="{00000000-0005-0000-0000-000097030000}"/>
    <cellStyle name="Millares 11" xfId="917" xr:uid="{00000000-0005-0000-0000-000098030000}"/>
    <cellStyle name="Millares 12" xfId="918" xr:uid="{00000000-0005-0000-0000-000099030000}"/>
    <cellStyle name="Millares 12 2" xfId="919" xr:uid="{00000000-0005-0000-0000-00009A030000}"/>
    <cellStyle name="Millares 12 3" xfId="920" xr:uid="{00000000-0005-0000-0000-00009B030000}"/>
    <cellStyle name="Millares 12 4" xfId="921" xr:uid="{00000000-0005-0000-0000-00009C030000}"/>
    <cellStyle name="Millares 13" xfId="922" xr:uid="{00000000-0005-0000-0000-00009D030000}"/>
    <cellStyle name="Millares 13 10" xfId="923" xr:uid="{00000000-0005-0000-0000-00009E030000}"/>
    <cellStyle name="Millares 13 11" xfId="924" xr:uid="{00000000-0005-0000-0000-00009F030000}"/>
    <cellStyle name="Millares 13 12" xfId="925" xr:uid="{00000000-0005-0000-0000-0000A0030000}"/>
    <cellStyle name="Millares 13 13" xfId="926" xr:uid="{00000000-0005-0000-0000-0000A1030000}"/>
    <cellStyle name="Millares 13 14" xfId="927" xr:uid="{00000000-0005-0000-0000-0000A2030000}"/>
    <cellStyle name="Millares 13 15" xfId="928" xr:uid="{00000000-0005-0000-0000-0000A3030000}"/>
    <cellStyle name="Millares 13 16" xfId="929" xr:uid="{00000000-0005-0000-0000-0000A4030000}"/>
    <cellStyle name="Millares 13 2" xfId="930" xr:uid="{00000000-0005-0000-0000-0000A5030000}"/>
    <cellStyle name="Millares 13 3" xfId="931" xr:uid="{00000000-0005-0000-0000-0000A6030000}"/>
    <cellStyle name="Millares 13 4" xfId="932" xr:uid="{00000000-0005-0000-0000-0000A7030000}"/>
    <cellStyle name="Millares 13 5" xfId="933" xr:uid="{00000000-0005-0000-0000-0000A8030000}"/>
    <cellStyle name="Millares 13 6" xfId="934" xr:uid="{00000000-0005-0000-0000-0000A9030000}"/>
    <cellStyle name="Millares 13 7" xfId="935" xr:uid="{00000000-0005-0000-0000-0000AA030000}"/>
    <cellStyle name="Millares 13 8" xfId="936" xr:uid="{00000000-0005-0000-0000-0000AB030000}"/>
    <cellStyle name="Millares 13 9" xfId="937" xr:uid="{00000000-0005-0000-0000-0000AC030000}"/>
    <cellStyle name="Millares 14" xfId="938" xr:uid="{00000000-0005-0000-0000-0000AD030000}"/>
    <cellStyle name="Millares 15" xfId="939" xr:uid="{00000000-0005-0000-0000-0000AE030000}"/>
    <cellStyle name="Millares 16" xfId="940" xr:uid="{00000000-0005-0000-0000-0000AF030000}"/>
    <cellStyle name="Millares 19" xfId="941" xr:uid="{00000000-0005-0000-0000-0000B0030000}"/>
    <cellStyle name="Millares 19 2" xfId="942" xr:uid="{00000000-0005-0000-0000-0000B1030000}"/>
    <cellStyle name="Millares 19 3" xfId="943" xr:uid="{00000000-0005-0000-0000-0000B2030000}"/>
    <cellStyle name="Millares 19 4" xfId="944" xr:uid="{00000000-0005-0000-0000-0000B3030000}"/>
    <cellStyle name="Millares 2" xfId="945" xr:uid="{00000000-0005-0000-0000-0000B4030000}"/>
    <cellStyle name="Millares 2 2" xfId="946" xr:uid="{00000000-0005-0000-0000-0000B5030000}"/>
    <cellStyle name="Millares 2 2 2" xfId="947" xr:uid="{00000000-0005-0000-0000-0000B6030000}"/>
    <cellStyle name="Millares 2 2 3" xfId="948" xr:uid="{00000000-0005-0000-0000-0000B7030000}"/>
    <cellStyle name="Millares 2 2 4" xfId="949" xr:uid="{00000000-0005-0000-0000-0000B8030000}"/>
    <cellStyle name="Millares 2 2 5" xfId="950" xr:uid="{00000000-0005-0000-0000-0000B9030000}"/>
    <cellStyle name="Millares 2 2 6" xfId="951" xr:uid="{00000000-0005-0000-0000-0000BA030000}"/>
    <cellStyle name="Millares 2 2 7" xfId="952" xr:uid="{00000000-0005-0000-0000-0000BB030000}"/>
    <cellStyle name="Millares 2 3" xfId="953" xr:uid="{00000000-0005-0000-0000-0000BC030000}"/>
    <cellStyle name="Millares 2_FormatoAPUyAdministración_20110623162925.939_X" xfId="972" xr:uid="{00000000-0005-0000-0000-0000CF030000}"/>
    <cellStyle name="Millares 20" xfId="954" xr:uid="{00000000-0005-0000-0000-0000BD030000}"/>
    <cellStyle name="Millares 20 2" xfId="955" xr:uid="{00000000-0005-0000-0000-0000BE030000}"/>
    <cellStyle name="Millares 20 3" xfId="956" xr:uid="{00000000-0005-0000-0000-0000BF030000}"/>
    <cellStyle name="Millares 20 4" xfId="957" xr:uid="{00000000-0005-0000-0000-0000C0030000}"/>
    <cellStyle name="Millares 21" xfId="958" xr:uid="{00000000-0005-0000-0000-0000C1030000}"/>
    <cellStyle name="Millares 21 2" xfId="959" xr:uid="{00000000-0005-0000-0000-0000C2030000}"/>
    <cellStyle name="Millares 22" xfId="960" xr:uid="{00000000-0005-0000-0000-0000C3030000}"/>
    <cellStyle name="Millares 22 2" xfId="961" xr:uid="{00000000-0005-0000-0000-0000C4030000}"/>
    <cellStyle name="Millares 22 3" xfId="962" xr:uid="{00000000-0005-0000-0000-0000C5030000}"/>
    <cellStyle name="Millares 22 4" xfId="963" xr:uid="{00000000-0005-0000-0000-0000C6030000}"/>
    <cellStyle name="Millares 23" xfId="964" xr:uid="{00000000-0005-0000-0000-0000C7030000}"/>
    <cellStyle name="Millares 23 2" xfId="965" xr:uid="{00000000-0005-0000-0000-0000C8030000}"/>
    <cellStyle name="Millares 23 3" xfId="966" xr:uid="{00000000-0005-0000-0000-0000C9030000}"/>
    <cellStyle name="Millares 23 4" xfId="967" xr:uid="{00000000-0005-0000-0000-0000CA030000}"/>
    <cellStyle name="Millares 24" xfId="968" xr:uid="{00000000-0005-0000-0000-0000CB030000}"/>
    <cellStyle name="Millares 24 2" xfId="969" xr:uid="{00000000-0005-0000-0000-0000CC030000}"/>
    <cellStyle name="Millares 24 3" xfId="970" xr:uid="{00000000-0005-0000-0000-0000CD030000}"/>
    <cellStyle name="Millares 24 4" xfId="971" xr:uid="{00000000-0005-0000-0000-0000CE030000}"/>
    <cellStyle name="Millares 3" xfId="973" xr:uid="{00000000-0005-0000-0000-0000D0030000}"/>
    <cellStyle name="Millares 3 10" xfId="974" xr:uid="{00000000-0005-0000-0000-0000D1030000}"/>
    <cellStyle name="Millares 3 11" xfId="975" xr:uid="{00000000-0005-0000-0000-0000D2030000}"/>
    <cellStyle name="Millares 3 12" xfId="976" xr:uid="{00000000-0005-0000-0000-0000D3030000}"/>
    <cellStyle name="Millares 3 13" xfId="977" xr:uid="{00000000-0005-0000-0000-0000D4030000}"/>
    <cellStyle name="Millares 3 14" xfId="978" xr:uid="{00000000-0005-0000-0000-0000D5030000}"/>
    <cellStyle name="Millares 3 15" xfId="979" xr:uid="{00000000-0005-0000-0000-0000D6030000}"/>
    <cellStyle name="Millares 3 16" xfId="980" xr:uid="{00000000-0005-0000-0000-0000D7030000}"/>
    <cellStyle name="Millares 3 2" xfId="981" xr:uid="{00000000-0005-0000-0000-0000D8030000}"/>
    <cellStyle name="Millares 3 3" xfId="982" xr:uid="{00000000-0005-0000-0000-0000D9030000}"/>
    <cellStyle name="Millares 3 4" xfId="983" xr:uid="{00000000-0005-0000-0000-0000DA030000}"/>
    <cellStyle name="Millares 3 5" xfId="984" xr:uid="{00000000-0005-0000-0000-0000DB030000}"/>
    <cellStyle name="Millares 3 6" xfId="985" xr:uid="{00000000-0005-0000-0000-0000DC030000}"/>
    <cellStyle name="Millares 3 7" xfId="986" xr:uid="{00000000-0005-0000-0000-0000DD030000}"/>
    <cellStyle name="Millares 3 8" xfId="987" xr:uid="{00000000-0005-0000-0000-0000DE030000}"/>
    <cellStyle name="Millares 3 9" xfId="988" xr:uid="{00000000-0005-0000-0000-0000DF030000}"/>
    <cellStyle name="Millares 4" xfId="989" xr:uid="{00000000-0005-0000-0000-0000E0030000}"/>
    <cellStyle name="Millares 4 10" xfId="990" xr:uid="{00000000-0005-0000-0000-0000E1030000}"/>
    <cellStyle name="Millares 4 11" xfId="991" xr:uid="{00000000-0005-0000-0000-0000E2030000}"/>
    <cellStyle name="Millares 4 12" xfId="992" xr:uid="{00000000-0005-0000-0000-0000E3030000}"/>
    <cellStyle name="Millares 4 13" xfId="993" xr:uid="{00000000-0005-0000-0000-0000E4030000}"/>
    <cellStyle name="Millares 4 14" xfId="994" xr:uid="{00000000-0005-0000-0000-0000E5030000}"/>
    <cellStyle name="Millares 4 15" xfId="995" xr:uid="{00000000-0005-0000-0000-0000E6030000}"/>
    <cellStyle name="Millares 4 16" xfId="996" xr:uid="{00000000-0005-0000-0000-0000E7030000}"/>
    <cellStyle name="Millares 4 17" xfId="997" xr:uid="{00000000-0005-0000-0000-0000E8030000}"/>
    <cellStyle name="Millares 4 18" xfId="998" xr:uid="{00000000-0005-0000-0000-0000E9030000}"/>
    <cellStyle name="Millares 4 19" xfId="999" xr:uid="{00000000-0005-0000-0000-0000EA030000}"/>
    <cellStyle name="Millares 4 2" xfId="1000" xr:uid="{00000000-0005-0000-0000-0000EB030000}"/>
    <cellStyle name="Millares 4 20" xfId="1001" xr:uid="{00000000-0005-0000-0000-0000EC030000}"/>
    <cellStyle name="Millares 4 21" xfId="1002" xr:uid="{00000000-0005-0000-0000-0000ED030000}"/>
    <cellStyle name="Millares 4 22" xfId="1003" xr:uid="{00000000-0005-0000-0000-0000EE030000}"/>
    <cellStyle name="Millares 4 23" xfId="1004" xr:uid="{00000000-0005-0000-0000-0000EF030000}"/>
    <cellStyle name="Millares 4 24" xfId="1005" xr:uid="{00000000-0005-0000-0000-0000F0030000}"/>
    <cellStyle name="Millares 4 25" xfId="1006" xr:uid="{00000000-0005-0000-0000-0000F1030000}"/>
    <cellStyle name="Millares 4 26" xfId="1007" xr:uid="{00000000-0005-0000-0000-0000F2030000}"/>
    <cellStyle name="Millares 4 27" xfId="1008" xr:uid="{00000000-0005-0000-0000-0000F3030000}"/>
    <cellStyle name="Millares 4 28" xfId="1009" xr:uid="{00000000-0005-0000-0000-0000F4030000}"/>
    <cellStyle name="Millares 4 29" xfId="1010" xr:uid="{00000000-0005-0000-0000-0000F5030000}"/>
    <cellStyle name="Millares 4 3" xfId="1011" xr:uid="{00000000-0005-0000-0000-0000F6030000}"/>
    <cellStyle name="Millares 4 30" xfId="1012" xr:uid="{00000000-0005-0000-0000-0000F7030000}"/>
    <cellStyle name="Millares 4 4" xfId="1013" xr:uid="{00000000-0005-0000-0000-0000F8030000}"/>
    <cellStyle name="Millares 4 5" xfId="1014" xr:uid="{00000000-0005-0000-0000-0000F9030000}"/>
    <cellStyle name="Millares 4 6" xfId="1015" xr:uid="{00000000-0005-0000-0000-0000FA030000}"/>
    <cellStyle name="Millares 4 7" xfId="1016" xr:uid="{00000000-0005-0000-0000-0000FB030000}"/>
    <cellStyle name="Millares 4 8" xfId="1017" xr:uid="{00000000-0005-0000-0000-0000FC030000}"/>
    <cellStyle name="Millares 4 9" xfId="1018" xr:uid="{00000000-0005-0000-0000-0000FD030000}"/>
    <cellStyle name="Millares 44" xfId="1019" xr:uid="{00000000-0005-0000-0000-0000FE030000}"/>
    <cellStyle name="Millares 5" xfId="1020" xr:uid="{00000000-0005-0000-0000-0000FF030000}"/>
    <cellStyle name="Millares 6" xfId="1021" xr:uid="{00000000-0005-0000-0000-000000040000}"/>
    <cellStyle name="Millares 7" xfId="1022" xr:uid="{00000000-0005-0000-0000-000001040000}"/>
    <cellStyle name="Millares 8" xfId="1023" xr:uid="{00000000-0005-0000-0000-000002040000}"/>
    <cellStyle name="Millares 9" xfId="1024" xr:uid="{00000000-0005-0000-0000-000003040000}"/>
    <cellStyle name="Moneda [0] 2" xfId="1065" xr:uid="{00000000-0005-0000-0000-00002C040000}"/>
    <cellStyle name="Moneda [0] 2 10" xfId="1066" xr:uid="{00000000-0005-0000-0000-00002D040000}"/>
    <cellStyle name="Moneda [0] 2 11" xfId="1067" xr:uid="{00000000-0005-0000-0000-00002E040000}"/>
    <cellStyle name="Moneda [0] 2 12" xfId="1068" xr:uid="{00000000-0005-0000-0000-00002F040000}"/>
    <cellStyle name="Moneda [0] 2 13" xfId="1069" xr:uid="{00000000-0005-0000-0000-000030040000}"/>
    <cellStyle name="Moneda [0] 2 14" xfId="1070" xr:uid="{00000000-0005-0000-0000-000031040000}"/>
    <cellStyle name="Moneda [0] 2 15" xfId="1071" xr:uid="{00000000-0005-0000-0000-000032040000}"/>
    <cellStyle name="Moneda [0] 2 16" xfId="1072" xr:uid="{00000000-0005-0000-0000-000033040000}"/>
    <cellStyle name="Moneda [0] 2 2" xfId="1073" xr:uid="{00000000-0005-0000-0000-000034040000}"/>
    <cellStyle name="Moneda [0] 2 3" xfId="1074" xr:uid="{00000000-0005-0000-0000-000035040000}"/>
    <cellStyle name="Moneda [0] 2 4" xfId="1075" xr:uid="{00000000-0005-0000-0000-000036040000}"/>
    <cellStyle name="Moneda [0] 2 5" xfId="1076" xr:uid="{00000000-0005-0000-0000-000037040000}"/>
    <cellStyle name="Moneda [0] 2 6" xfId="1077" xr:uid="{00000000-0005-0000-0000-000038040000}"/>
    <cellStyle name="Moneda [0] 2 7" xfId="1078" xr:uid="{00000000-0005-0000-0000-000039040000}"/>
    <cellStyle name="Moneda [0] 2 8" xfId="1079" xr:uid="{00000000-0005-0000-0000-00003A040000}"/>
    <cellStyle name="Moneda [0] 2 9" xfId="1080" xr:uid="{00000000-0005-0000-0000-00003B040000}"/>
    <cellStyle name="Moneda 2" xfId="1025" xr:uid="{00000000-0005-0000-0000-000004040000}"/>
    <cellStyle name="Moneda 2 2" xfId="1026" xr:uid="{00000000-0005-0000-0000-000005040000}"/>
    <cellStyle name="Moneda 2_Formato APUs " xfId="1027" xr:uid="{00000000-0005-0000-0000-000006040000}"/>
    <cellStyle name="Moneda 3" xfId="1028" xr:uid="{00000000-0005-0000-0000-000007040000}"/>
    <cellStyle name="Moneda 3 10" xfId="1029" xr:uid="{00000000-0005-0000-0000-000008040000}"/>
    <cellStyle name="Moneda 3 11" xfId="1030" xr:uid="{00000000-0005-0000-0000-000009040000}"/>
    <cellStyle name="Moneda 3 12" xfId="1031" xr:uid="{00000000-0005-0000-0000-00000A040000}"/>
    <cellStyle name="Moneda 3 13" xfId="1032" xr:uid="{00000000-0005-0000-0000-00000B040000}"/>
    <cellStyle name="Moneda 3 14" xfId="1033" xr:uid="{00000000-0005-0000-0000-00000C040000}"/>
    <cellStyle name="Moneda 3 15" xfId="1034" xr:uid="{00000000-0005-0000-0000-00000D040000}"/>
    <cellStyle name="Moneda 3 16" xfId="1035" xr:uid="{00000000-0005-0000-0000-00000E040000}"/>
    <cellStyle name="Moneda 3 2" xfId="1036" xr:uid="{00000000-0005-0000-0000-00000F040000}"/>
    <cellStyle name="Moneda 3 3" xfId="1037" xr:uid="{00000000-0005-0000-0000-000010040000}"/>
    <cellStyle name="Moneda 3 4" xfId="1038" xr:uid="{00000000-0005-0000-0000-000011040000}"/>
    <cellStyle name="Moneda 3 5" xfId="1039" xr:uid="{00000000-0005-0000-0000-000012040000}"/>
    <cellStyle name="Moneda 3 6" xfId="1040" xr:uid="{00000000-0005-0000-0000-000013040000}"/>
    <cellStyle name="Moneda 3 7" xfId="1041" xr:uid="{00000000-0005-0000-0000-000014040000}"/>
    <cellStyle name="Moneda 3 8" xfId="1042" xr:uid="{00000000-0005-0000-0000-000015040000}"/>
    <cellStyle name="Moneda 3 9" xfId="1043" xr:uid="{00000000-0005-0000-0000-000016040000}"/>
    <cellStyle name="Moneda 4" xfId="1044" xr:uid="{00000000-0005-0000-0000-000017040000}"/>
    <cellStyle name="Moneda 5" xfId="1045" xr:uid="{00000000-0005-0000-0000-000018040000}"/>
    <cellStyle name="Moneda 5 10" xfId="1046" xr:uid="{00000000-0005-0000-0000-000019040000}"/>
    <cellStyle name="Moneda 5 11" xfId="1047" xr:uid="{00000000-0005-0000-0000-00001A040000}"/>
    <cellStyle name="Moneda 5 12" xfId="1048" xr:uid="{00000000-0005-0000-0000-00001B040000}"/>
    <cellStyle name="Moneda 5 13" xfId="1049" xr:uid="{00000000-0005-0000-0000-00001C040000}"/>
    <cellStyle name="Moneda 5 14" xfId="1050" xr:uid="{00000000-0005-0000-0000-00001D040000}"/>
    <cellStyle name="Moneda 5 15" xfId="1051" xr:uid="{00000000-0005-0000-0000-00001E040000}"/>
    <cellStyle name="Moneda 5 16" xfId="1052" xr:uid="{00000000-0005-0000-0000-00001F040000}"/>
    <cellStyle name="Moneda 5 2" xfId="1053" xr:uid="{00000000-0005-0000-0000-000020040000}"/>
    <cellStyle name="Moneda 5 3" xfId="1054" xr:uid="{00000000-0005-0000-0000-000021040000}"/>
    <cellStyle name="Moneda 5 4" xfId="1055" xr:uid="{00000000-0005-0000-0000-000022040000}"/>
    <cellStyle name="Moneda 5 5" xfId="1056" xr:uid="{00000000-0005-0000-0000-000023040000}"/>
    <cellStyle name="Moneda 5 6" xfId="1057" xr:uid="{00000000-0005-0000-0000-000024040000}"/>
    <cellStyle name="Moneda 5 7" xfId="1058" xr:uid="{00000000-0005-0000-0000-000025040000}"/>
    <cellStyle name="Moneda 5 8" xfId="1059" xr:uid="{00000000-0005-0000-0000-000026040000}"/>
    <cellStyle name="Moneda 5 9" xfId="1060" xr:uid="{00000000-0005-0000-0000-000027040000}"/>
    <cellStyle name="Moneda 6" xfId="1061" xr:uid="{00000000-0005-0000-0000-000028040000}"/>
    <cellStyle name="Moneda 7" xfId="1062" xr:uid="{00000000-0005-0000-0000-000029040000}"/>
    <cellStyle name="Moneda 8" xfId="1063" xr:uid="{00000000-0005-0000-0000-00002A040000}"/>
    <cellStyle name="Moneda 9" xfId="1064" xr:uid="{00000000-0005-0000-0000-00002B040000}"/>
    <cellStyle name="Normal" xfId="0" builtinId="0"/>
    <cellStyle name="Normal 10" xfId="1081" xr:uid="{00000000-0005-0000-0000-00003C040000}"/>
    <cellStyle name="Normal 11" xfId="1082" xr:uid="{00000000-0005-0000-0000-00003D040000}"/>
    <cellStyle name="Normal 12" xfId="1083" xr:uid="{00000000-0005-0000-0000-00003E040000}"/>
    <cellStyle name="Normal 2" xfId="1084" xr:uid="{00000000-0005-0000-0000-00003F040000}"/>
    <cellStyle name="Normal 2 2" xfId="1085" xr:uid="{00000000-0005-0000-0000-000040040000}"/>
    <cellStyle name="Normal 2 3" xfId="1086" xr:uid="{00000000-0005-0000-0000-000041040000}"/>
    <cellStyle name="Normal 2_APUs Bodega" xfId="1087" xr:uid="{00000000-0005-0000-0000-000042040000}"/>
    <cellStyle name="Normal 3" xfId="1088" xr:uid="{00000000-0005-0000-0000-000043040000}"/>
    <cellStyle name="Normal 3 2" xfId="1089" xr:uid="{00000000-0005-0000-0000-000044040000}"/>
    <cellStyle name="Normal 4" xfId="1090" xr:uid="{00000000-0005-0000-0000-000045040000}"/>
    <cellStyle name="Normal 4 2" xfId="1091" xr:uid="{00000000-0005-0000-0000-000046040000}"/>
    <cellStyle name="Normal 4_APUs Bodega" xfId="1092" xr:uid="{00000000-0005-0000-0000-000047040000}"/>
    <cellStyle name="Normal 5" xfId="1093" xr:uid="{00000000-0005-0000-0000-000048040000}"/>
    <cellStyle name="Normal 6" xfId="1094" xr:uid="{00000000-0005-0000-0000-000049040000}"/>
    <cellStyle name="Normal 7" xfId="1095" xr:uid="{00000000-0005-0000-0000-00004A040000}"/>
    <cellStyle name="Normal 8" xfId="1096" xr:uid="{00000000-0005-0000-0000-00004B040000}"/>
    <cellStyle name="Normal 9" xfId="1097" xr:uid="{00000000-0005-0000-0000-00004C040000}"/>
    <cellStyle name="Note 10" xfId="1098" xr:uid="{00000000-0005-0000-0000-00004D040000}"/>
    <cellStyle name="Note 11" xfId="1099" xr:uid="{00000000-0005-0000-0000-00004E040000}"/>
    <cellStyle name="Note 12" xfId="1100" xr:uid="{00000000-0005-0000-0000-00004F040000}"/>
    <cellStyle name="Note 13" xfId="1101" xr:uid="{00000000-0005-0000-0000-000050040000}"/>
    <cellStyle name="Note 14" xfId="1102" xr:uid="{00000000-0005-0000-0000-000051040000}"/>
    <cellStyle name="Note 15" xfId="1103" xr:uid="{00000000-0005-0000-0000-000052040000}"/>
    <cellStyle name="Note 16" xfId="1104" xr:uid="{00000000-0005-0000-0000-000053040000}"/>
    <cellStyle name="Note 17" xfId="1105" xr:uid="{00000000-0005-0000-0000-000054040000}"/>
    <cellStyle name="Note 18" xfId="1106" xr:uid="{00000000-0005-0000-0000-000055040000}"/>
    <cellStyle name="Note 19" xfId="1107" xr:uid="{00000000-0005-0000-0000-000056040000}"/>
    <cellStyle name="Note 2" xfId="1108" xr:uid="{00000000-0005-0000-0000-000057040000}"/>
    <cellStyle name="Note 20" xfId="1109" xr:uid="{00000000-0005-0000-0000-000058040000}"/>
    <cellStyle name="Note 21" xfId="1110" xr:uid="{00000000-0005-0000-0000-000059040000}"/>
    <cellStyle name="Note 22" xfId="1111" xr:uid="{00000000-0005-0000-0000-00005A040000}"/>
    <cellStyle name="Note 23" xfId="1112" xr:uid="{00000000-0005-0000-0000-00005B040000}"/>
    <cellStyle name="Note 24" xfId="1113" xr:uid="{00000000-0005-0000-0000-00005C040000}"/>
    <cellStyle name="Note 25" xfId="1114" xr:uid="{00000000-0005-0000-0000-00005D040000}"/>
    <cellStyle name="Note 26" xfId="1115" xr:uid="{00000000-0005-0000-0000-00005E040000}"/>
    <cellStyle name="Note 27" xfId="1116" xr:uid="{00000000-0005-0000-0000-00005F040000}"/>
    <cellStyle name="Note 28" xfId="1117" xr:uid="{00000000-0005-0000-0000-000060040000}"/>
    <cellStyle name="Note 29" xfId="1118" xr:uid="{00000000-0005-0000-0000-000061040000}"/>
    <cellStyle name="Note 3" xfId="1119" xr:uid="{00000000-0005-0000-0000-000062040000}"/>
    <cellStyle name="Note 30" xfId="1120" xr:uid="{00000000-0005-0000-0000-000063040000}"/>
    <cellStyle name="Note 31" xfId="1121" xr:uid="{00000000-0005-0000-0000-000064040000}"/>
    <cellStyle name="Note 32" xfId="1122" xr:uid="{00000000-0005-0000-0000-000065040000}"/>
    <cellStyle name="Note 33" xfId="1123" xr:uid="{00000000-0005-0000-0000-000066040000}"/>
    <cellStyle name="Note 34" xfId="1124" xr:uid="{00000000-0005-0000-0000-000067040000}"/>
    <cellStyle name="Note 35" xfId="1125" xr:uid="{00000000-0005-0000-0000-000068040000}"/>
    <cellStyle name="Note 36" xfId="1126" xr:uid="{00000000-0005-0000-0000-000069040000}"/>
    <cellStyle name="Note 37" xfId="1127" xr:uid="{00000000-0005-0000-0000-00006A040000}"/>
    <cellStyle name="Note 38" xfId="1128" xr:uid="{00000000-0005-0000-0000-00006B040000}"/>
    <cellStyle name="Note 39" xfId="1129" xr:uid="{00000000-0005-0000-0000-00006C040000}"/>
    <cellStyle name="Note 4" xfId="1130" xr:uid="{00000000-0005-0000-0000-00006D040000}"/>
    <cellStyle name="Note 40" xfId="1131" xr:uid="{00000000-0005-0000-0000-00006E040000}"/>
    <cellStyle name="Note 41" xfId="1132" xr:uid="{00000000-0005-0000-0000-00006F040000}"/>
    <cellStyle name="Note 42" xfId="1133" xr:uid="{00000000-0005-0000-0000-000070040000}"/>
    <cellStyle name="Note 43" xfId="1134" xr:uid="{00000000-0005-0000-0000-000071040000}"/>
    <cellStyle name="Note 44" xfId="1135" xr:uid="{00000000-0005-0000-0000-000072040000}"/>
    <cellStyle name="Note 45" xfId="1136" xr:uid="{00000000-0005-0000-0000-000073040000}"/>
    <cellStyle name="Note 5" xfId="1137" xr:uid="{00000000-0005-0000-0000-000074040000}"/>
    <cellStyle name="Note 6" xfId="1138" xr:uid="{00000000-0005-0000-0000-000075040000}"/>
    <cellStyle name="Note 7" xfId="1139" xr:uid="{00000000-0005-0000-0000-000076040000}"/>
    <cellStyle name="Note 8" xfId="1140" xr:uid="{00000000-0005-0000-0000-000077040000}"/>
    <cellStyle name="Note 9" xfId="1141" xr:uid="{00000000-0005-0000-0000-000078040000}"/>
    <cellStyle name="Output" xfId="1142" xr:uid="{00000000-0005-0000-0000-000079040000}"/>
    <cellStyle name="Output 10" xfId="1143" xr:uid="{00000000-0005-0000-0000-00007A040000}"/>
    <cellStyle name="Output 11" xfId="1144" xr:uid="{00000000-0005-0000-0000-00007B040000}"/>
    <cellStyle name="Output 12" xfId="1145" xr:uid="{00000000-0005-0000-0000-00007C040000}"/>
    <cellStyle name="Output 13" xfId="1146" xr:uid="{00000000-0005-0000-0000-00007D040000}"/>
    <cellStyle name="Output 14" xfId="1147" xr:uid="{00000000-0005-0000-0000-00007E040000}"/>
    <cellStyle name="Output 15" xfId="1148" xr:uid="{00000000-0005-0000-0000-00007F040000}"/>
    <cellStyle name="Output 16" xfId="1149" xr:uid="{00000000-0005-0000-0000-000080040000}"/>
    <cellStyle name="Output 17" xfId="1150" xr:uid="{00000000-0005-0000-0000-000081040000}"/>
    <cellStyle name="Output 18" xfId="1151" xr:uid="{00000000-0005-0000-0000-000082040000}"/>
    <cellStyle name="Output 19" xfId="1152" xr:uid="{00000000-0005-0000-0000-000083040000}"/>
    <cellStyle name="Output 2" xfId="1153" xr:uid="{00000000-0005-0000-0000-000084040000}"/>
    <cellStyle name="Output 20" xfId="1154" xr:uid="{00000000-0005-0000-0000-000085040000}"/>
    <cellStyle name="Output 21" xfId="1155" xr:uid="{00000000-0005-0000-0000-000086040000}"/>
    <cellStyle name="Output 22" xfId="1156" xr:uid="{00000000-0005-0000-0000-000087040000}"/>
    <cellStyle name="Output 23" xfId="1157" xr:uid="{00000000-0005-0000-0000-000088040000}"/>
    <cellStyle name="Output 24" xfId="1158" xr:uid="{00000000-0005-0000-0000-000089040000}"/>
    <cellStyle name="Output 25" xfId="1159" xr:uid="{00000000-0005-0000-0000-00008A040000}"/>
    <cellStyle name="Output 26" xfId="1160" xr:uid="{00000000-0005-0000-0000-00008B040000}"/>
    <cellStyle name="Output 27" xfId="1161" xr:uid="{00000000-0005-0000-0000-00008C040000}"/>
    <cellStyle name="Output 28" xfId="1162" xr:uid="{00000000-0005-0000-0000-00008D040000}"/>
    <cellStyle name="Output 29" xfId="1163" xr:uid="{00000000-0005-0000-0000-00008E040000}"/>
    <cellStyle name="Output 3" xfId="1164" xr:uid="{00000000-0005-0000-0000-00008F040000}"/>
    <cellStyle name="Output 4" xfId="1165" xr:uid="{00000000-0005-0000-0000-000090040000}"/>
    <cellStyle name="Output 5" xfId="1166" xr:uid="{00000000-0005-0000-0000-000091040000}"/>
    <cellStyle name="Output 6" xfId="1167" xr:uid="{00000000-0005-0000-0000-000092040000}"/>
    <cellStyle name="Output 7" xfId="1168" xr:uid="{00000000-0005-0000-0000-000093040000}"/>
    <cellStyle name="Output 8" xfId="1169" xr:uid="{00000000-0005-0000-0000-000094040000}"/>
    <cellStyle name="Output 9" xfId="1170" xr:uid="{00000000-0005-0000-0000-000095040000}"/>
    <cellStyle name="Percent 2" xfId="1171" xr:uid="{00000000-0005-0000-0000-000096040000}"/>
    <cellStyle name="Porcentaje" xfId="1" builtinId="5"/>
    <cellStyle name="Porcentaje 2" xfId="1172" xr:uid="{00000000-0005-0000-0000-000097040000}"/>
    <cellStyle name="Porcentaje 3" xfId="1173" xr:uid="{00000000-0005-0000-0000-000098040000}"/>
    <cellStyle name="Porcentaje 4" xfId="1174" xr:uid="{00000000-0005-0000-0000-000099040000}"/>
    <cellStyle name="Porcentual 10" xfId="1175" xr:uid="{00000000-0005-0000-0000-00009A040000}"/>
    <cellStyle name="Porcentual 2" xfId="1176" xr:uid="{00000000-0005-0000-0000-00009B040000}"/>
    <cellStyle name="Porcentual 2 2" xfId="1177" xr:uid="{00000000-0005-0000-0000-00009C040000}"/>
    <cellStyle name="Porcentual 2 3" xfId="1178" xr:uid="{00000000-0005-0000-0000-00009D040000}"/>
    <cellStyle name="Porcentual 3" xfId="1179" xr:uid="{00000000-0005-0000-0000-00009E040000}"/>
    <cellStyle name="Porcentual 3 2" xfId="1180" xr:uid="{00000000-0005-0000-0000-00009F040000}"/>
    <cellStyle name="Porcentual 4" xfId="1181" xr:uid="{00000000-0005-0000-0000-0000A0040000}"/>
    <cellStyle name="Porcentual 5" xfId="1182" xr:uid="{00000000-0005-0000-0000-0000A1040000}"/>
    <cellStyle name="Porcentual 6" xfId="1183" xr:uid="{00000000-0005-0000-0000-0000A2040000}"/>
    <cellStyle name="Porcentual 6 10" xfId="1184" xr:uid="{00000000-0005-0000-0000-0000A3040000}"/>
    <cellStyle name="Porcentual 6 11" xfId="1185" xr:uid="{00000000-0005-0000-0000-0000A4040000}"/>
    <cellStyle name="Porcentual 6 12" xfId="1186" xr:uid="{00000000-0005-0000-0000-0000A5040000}"/>
    <cellStyle name="Porcentual 6 13" xfId="1187" xr:uid="{00000000-0005-0000-0000-0000A6040000}"/>
    <cellStyle name="Porcentual 6 14" xfId="1188" xr:uid="{00000000-0005-0000-0000-0000A7040000}"/>
    <cellStyle name="Porcentual 6 15" xfId="1189" xr:uid="{00000000-0005-0000-0000-0000A8040000}"/>
    <cellStyle name="Porcentual 6 16" xfId="1190" xr:uid="{00000000-0005-0000-0000-0000A9040000}"/>
    <cellStyle name="Porcentual 6 17" xfId="1191" xr:uid="{00000000-0005-0000-0000-0000AA040000}"/>
    <cellStyle name="Porcentual 6 18" xfId="1192" xr:uid="{00000000-0005-0000-0000-0000AB040000}"/>
    <cellStyle name="Porcentual 6 19" xfId="1193" xr:uid="{00000000-0005-0000-0000-0000AC040000}"/>
    <cellStyle name="Porcentual 6 2" xfId="1194" xr:uid="{00000000-0005-0000-0000-0000AD040000}"/>
    <cellStyle name="Porcentual 6 20" xfId="1195" xr:uid="{00000000-0005-0000-0000-0000AE040000}"/>
    <cellStyle name="Porcentual 6 21" xfId="1196" xr:uid="{00000000-0005-0000-0000-0000AF040000}"/>
    <cellStyle name="Porcentual 6 22" xfId="1197" xr:uid="{00000000-0005-0000-0000-0000B0040000}"/>
    <cellStyle name="Porcentual 6 23" xfId="1198" xr:uid="{00000000-0005-0000-0000-0000B1040000}"/>
    <cellStyle name="Porcentual 6 24" xfId="1199" xr:uid="{00000000-0005-0000-0000-0000B2040000}"/>
    <cellStyle name="Porcentual 6 25" xfId="1200" xr:uid="{00000000-0005-0000-0000-0000B3040000}"/>
    <cellStyle name="Porcentual 6 26" xfId="1201" xr:uid="{00000000-0005-0000-0000-0000B4040000}"/>
    <cellStyle name="Porcentual 6 27" xfId="1202" xr:uid="{00000000-0005-0000-0000-0000B5040000}"/>
    <cellStyle name="Porcentual 6 28" xfId="1203" xr:uid="{00000000-0005-0000-0000-0000B6040000}"/>
    <cellStyle name="Porcentual 6 29" xfId="1204" xr:uid="{00000000-0005-0000-0000-0000B7040000}"/>
    <cellStyle name="Porcentual 6 3" xfId="1205" xr:uid="{00000000-0005-0000-0000-0000B8040000}"/>
    <cellStyle name="Porcentual 6 30" xfId="1206" xr:uid="{00000000-0005-0000-0000-0000B9040000}"/>
    <cellStyle name="Porcentual 6 31" xfId="1207" xr:uid="{00000000-0005-0000-0000-0000BA040000}"/>
    <cellStyle name="Porcentual 6 32" xfId="1208" xr:uid="{00000000-0005-0000-0000-0000BB040000}"/>
    <cellStyle name="Porcentual 6 33" xfId="1209" xr:uid="{00000000-0005-0000-0000-0000BC040000}"/>
    <cellStyle name="Porcentual 6 34" xfId="1210" xr:uid="{00000000-0005-0000-0000-0000BD040000}"/>
    <cellStyle name="Porcentual 6 35" xfId="1211" xr:uid="{00000000-0005-0000-0000-0000BE040000}"/>
    <cellStyle name="Porcentual 6 36" xfId="1212" xr:uid="{00000000-0005-0000-0000-0000BF040000}"/>
    <cellStyle name="Porcentual 6 37" xfId="1213" xr:uid="{00000000-0005-0000-0000-0000C0040000}"/>
    <cellStyle name="Porcentual 6 38" xfId="1214" xr:uid="{00000000-0005-0000-0000-0000C1040000}"/>
    <cellStyle name="Porcentual 6 39" xfId="1215" xr:uid="{00000000-0005-0000-0000-0000C2040000}"/>
    <cellStyle name="Porcentual 6 4" xfId="1216" xr:uid="{00000000-0005-0000-0000-0000C3040000}"/>
    <cellStyle name="Porcentual 6 40" xfId="1217" xr:uid="{00000000-0005-0000-0000-0000C4040000}"/>
    <cellStyle name="Porcentual 6 41" xfId="1218" xr:uid="{00000000-0005-0000-0000-0000C5040000}"/>
    <cellStyle name="Porcentual 6 42" xfId="1219" xr:uid="{00000000-0005-0000-0000-0000C6040000}"/>
    <cellStyle name="Porcentual 6 43" xfId="1220" xr:uid="{00000000-0005-0000-0000-0000C7040000}"/>
    <cellStyle name="Porcentual 6 44" xfId="1221" xr:uid="{00000000-0005-0000-0000-0000C8040000}"/>
    <cellStyle name="Porcentual 6 45" xfId="1222" xr:uid="{00000000-0005-0000-0000-0000C9040000}"/>
    <cellStyle name="Porcentual 6 5" xfId="1223" xr:uid="{00000000-0005-0000-0000-0000CA040000}"/>
    <cellStyle name="Porcentual 6 6" xfId="1224" xr:uid="{00000000-0005-0000-0000-0000CB040000}"/>
    <cellStyle name="Porcentual 6 7" xfId="1225" xr:uid="{00000000-0005-0000-0000-0000CC040000}"/>
    <cellStyle name="Porcentual 6 8" xfId="1226" xr:uid="{00000000-0005-0000-0000-0000CD040000}"/>
    <cellStyle name="Porcentual 6 9" xfId="1227" xr:uid="{00000000-0005-0000-0000-0000CE040000}"/>
    <cellStyle name="Porcentual 7" xfId="1228" xr:uid="{00000000-0005-0000-0000-0000CF040000}"/>
    <cellStyle name="Porcentual 7 10" xfId="1229" xr:uid="{00000000-0005-0000-0000-0000D0040000}"/>
    <cellStyle name="Porcentual 7 11" xfId="1230" xr:uid="{00000000-0005-0000-0000-0000D1040000}"/>
    <cellStyle name="Porcentual 7 12" xfId="1231" xr:uid="{00000000-0005-0000-0000-0000D2040000}"/>
    <cellStyle name="Porcentual 7 13" xfId="1232" xr:uid="{00000000-0005-0000-0000-0000D3040000}"/>
    <cellStyle name="Porcentual 7 14" xfId="1233" xr:uid="{00000000-0005-0000-0000-0000D4040000}"/>
    <cellStyle name="Porcentual 7 15" xfId="1234" xr:uid="{00000000-0005-0000-0000-0000D5040000}"/>
    <cellStyle name="Porcentual 7 16" xfId="1235" xr:uid="{00000000-0005-0000-0000-0000D6040000}"/>
    <cellStyle name="Porcentual 7 17" xfId="1236" xr:uid="{00000000-0005-0000-0000-0000D7040000}"/>
    <cellStyle name="Porcentual 7 18" xfId="1237" xr:uid="{00000000-0005-0000-0000-0000D8040000}"/>
    <cellStyle name="Porcentual 7 19" xfId="1238" xr:uid="{00000000-0005-0000-0000-0000D9040000}"/>
    <cellStyle name="Porcentual 7 2" xfId="1239" xr:uid="{00000000-0005-0000-0000-0000DA040000}"/>
    <cellStyle name="Porcentual 7 20" xfId="1240" xr:uid="{00000000-0005-0000-0000-0000DB040000}"/>
    <cellStyle name="Porcentual 7 21" xfId="1241" xr:uid="{00000000-0005-0000-0000-0000DC040000}"/>
    <cellStyle name="Porcentual 7 22" xfId="1242" xr:uid="{00000000-0005-0000-0000-0000DD040000}"/>
    <cellStyle name="Porcentual 7 23" xfId="1243" xr:uid="{00000000-0005-0000-0000-0000DE040000}"/>
    <cellStyle name="Porcentual 7 24" xfId="1244" xr:uid="{00000000-0005-0000-0000-0000DF040000}"/>
    <cellStyle name="Porcentual 7 25" xfId="1245" xr:uid="{00000000-0005-0000-0000-0000E0040000}"/>
    <cellStyle name="Porcentual 7 26" xfId="1246" xr:uid="{00000000-0005-0000-0000-0000E1040000}"/>
    <cellStyle name="Porcentual 7 27" xfId="1247" xr:uid="{00000000-0005-0000-0000-0000E2040000}"/>
    <cellStyle name="Porcentual 7 28" xfId="1248" xr:uid="{00000000-0005-0000-0000-0000E3040000}"/>
    <cellStyle name="Porcentual 7 29" xfId="1249" xr:uid="{00000000-0005-0000-0000-0000E4040000}"/>
    <cellStyle name="Porcentual 7 3" xfId="1250" xr:uid="{00000000-0005-0000-0000-0000E5040000}"/>
    <cellStyle name="Porcentual 7 30" xfId="1251" xr:uid="{00000000-0005-0000-0000-0000E6040000}"/>
    <cellStyle name="Porcentual 7 31" xfId="1252" xr:uid="{00000000-0005-0000-0000-0000E7040000}"/>
    <cellStyle name="Porcentual 7 32" xfId="1253" xr:uid="{00000000-0005-0000-0000-0000E8040000}"/>
    <cellStyle name="Porcentual 7 33" xfId="1254" xr:uid="{00000000-0005-0000-0000-0000E9040000}"/>
    <cellStyle name="Porcentual 7 34" xfId="1255" xr:uid="{00000000-0005-0000-0000-0000EA040000}"/>
    <cellStyle name="Porcentual 7 35" xfId="1256" xr:uid="{00000000-0005-0000-0000-0000EB040000}"/>
    <cellStyle name="Porcentual 7 36" xfId="1257" xr:uid="{00000000-0005-0000-0000-0000EC040000}"/>
    <cellStyle name="Porcentual 7 37" xfId="1258" xr:uid="{00000000-0005-0000-0000-0000ED040000}"/>
    <cellStyle name="Porcentual 7 38" xfId="1259" xr:uid="{00000000-0005-0000-0000-0000EE040000}"/>
    <cellStyle name="Porcentual 7 39" xfId="1260" xr:uid="{00000000-0005-0000-0000-0000EF040000}"/>
    <cellStyle name="Porcentual 7 4" xfId="1261" xr:uid="{00000000-0005-0000-0000-0000F0040000}"/>
    <cellStyle name="Porcentual 7 40" xfId="1262" xr:uid="{00000000-0005-0000-0000-0000F1040000}"/>
    <cellStyle name="Porcentual 7 41" xfId="1263" xr:uid="{00000000-0005-0000-0000-0000F2040000}"/>
    <cellStyle name="Porcentual 7 42" xfId="1264" xr:uid="{00000000-0005-0000-0000-0000F3040000}"/>
    <cellStyle name="Porcentual 7 43" xfId="1265" xr:uid="{00000000-0005-0000-0000-0000F4040000}"/>
    <cellStyle name="Porcentual 7 44" xfId="1266" xr:uid="{00000000-0005-0000-0000-0000F5040000}"/>
    <cellStyle name="Porcentual 7 5" xfId="1267" xr:uid="{00000000-0005-0000-0000-0000F6040000}"/>
    <cellStyle name="Porcentual 7 6" xfId="1268" xr:uid="{00000000-0005-0000-0000-0000F7040000}"/>
    <cellStyle name="Porcentual 7 7" xfId="1269" xr:uid="{00000000-0005-0000-0000-0000F8040000}"/>
    <cellStyle name="Porcentual 7 8" xfId="1270" xr:uid="{00000000-0005-0000-0000-0000F9040000}"/>
    <cellStyle name="Porcentual 7 9" xfId="1271" xr:uid="{00000000-0005-0000-0000-0000FA040000}"/>
    <cellStyle name="Style 1" xfId="1272" xr:uid="{00000000-0005-0000-0000-0000FB040000}"/>
    <cellStyle name="Style 1 10" xfId="1273" xr:uid="{00000000-0005-0000-0000-0000FC040000}"/>
    <cellStyle name="Style 1 11" xfId="1274" xr:uid="{00000000-0005-0000-0000-0000FD040000}"/>
    <cellStyle name="Style 1 12" xfId="1275" xr:uid="{00000000-0005-0000-0000-0000FE040000}"/>
    <cellStyle name="Style 1 13" xfId="1276" xr:uid="{00000000-0005-0000-0000-0000FF040000}"/>
    <cellStyle name="Style 1 14" xfId="1277" xr:uid="{00000000-0005-0000-0000-000000050000}"/>
    <cellStyle name="Style 1 15" xfId="1278" xr:uid="{00000000-0005-0000-0000-000001050000}"/>
    <cellStyle name="Style 1 16" xfId="1279" xr:uid="{00000000-0005-0000-0000-000002050000}"/>
    <cellStyle name="Style 1 17" xfId="1280" xr:uid="{00000000-0005-0000-0000-000003050000}"/>
    <cellStyle name="Style 1 18" xfId="1281" xr:uid="{00000000-0005-0000-0000-000004050000}"/>
    <cellStyle name="Style 1 19" xfId="1282" xr:uid="{00000000-0005-0000-0000-000005050000}"/>
    <cellStyle name="Style 1 2" xfId="1283" xr:uid="{00000000-0005-0000-0000-000006050000}"/>
    <cellStyle name="Style 1 20" xfId="1284" xr:uid="{00000000-0005-0000-0000-000007050000}"/>
    <cellStyle name="Style 1 21" xfId="1285" xr:uid="{00000000-0005-0000-0000-000008050000}"/>
    <cellStyle name="Style 1 22" xfId="1286" xr:uid="{00000000-0005-0000-0000-000009050000}"/>
    <cellStyle name="Style 1 23" xfId="1287" xr:uid="{00000000-0005-0000-0000-00000A050000}"/>
    <cellStyle name="Style 1 24" xfId="1288" xr:uid="{00000000-0005-0000-0000-00000B050000}"/>
    <cellStyle name="Style 1 25" xfId="1289" xr:uid="{00000000-0005-0000-0000-00000C050000}"/>
    <cellStyle name="Style 1 26" xfId="1290" xr:uid="{00000000-0005-0000-0000-00000D050000}"/>
    <cellStyle name="Style 1 27" xfId="1291" xr:uid="{00000000-0005-0000-0000-00000E050000}"/>
    <cellStyle name="Style 1 28" xfId="1292" xr:uid="{00000000-0005-0000-0000-00000F050000}"/>
    <cellStyle name="Style 1 29" xfId="1293" xr:uid="{00000000-0005-0000-0000-000010050000}"/>
    <cellStyle name="Style 1 3" xfId="1294" xr:uid="{00000000-0005-0000-0000-000011050000}"/>
    <cellStyle name="Style 1 30" xfId="1295" xr:uid="{00000000-0005-0000-0000-000012050000}"/>
    <cellStyle name="Style 1 31" xfId="1296" xr:uid="{00000000-0005-0000-0000-000013050000}"/>
    <cellStyle name="Style 1 32" xfId="1297" xr:uid="{00000000-0005-0000-0000-000014050000}"/>
    <cellStyle name="Style 1 33" xfId="1298" xr:uid="{00000000-0005-0000-0000-000015050000}"/>
    <cellStyle name="Style 1 34" xfId="1299" xr:uid="{00000000-0005-0000-0000-000016050000}"/>
    <cellStyle name="Style 1 35" xfId="1300" xr:uid="{00000000-0005-0000-0000-000017050000}"/>
    <cellStyle name="Style 1 36" xfId="1301" xr:uid="{00000000-0005-0000-0000-000018050000}"/>
    <cellStyle name="Style 1 37" xfId="1302" xr:uid="{00000000-0005-0000-0000-000019050000}"/>
    <cellStyle name="Style 1 38" xfId="1303" xr:uid="{00000000-0005-0000-0000-00001A050000}"/>
    <cellStyle name="Style 1 39" xfId="1304" xr:uid="{00000000-0005-0000-0000-00001B050000}"/>
    <cellStyle name="Style 1 4" xfId="1305" xr:uid="{00000000-0005-0000-0000-00001C050000}"/>
    <cellStyle name="Style 1 40" xfId="1306" xr:uid="{00000000-0005-0000-0000-00001D050000}"/>
    <cellStyle name="Style 1 41" xfId="1307" xr:uid="{00000000-0005-0000-0000-00001E050000}"/>
    <cellStyle name="Style 1 42" xfId="1308" xr:uid="{00000000-0005-0000-0000-00001F050000}"/>
    <cellStyle name="Style 1 43" xfId="1309" xr:uid="{00000000-0005-0000-0000-000020050000}"/>
    <cellStyle name="Style 1 44" xfId="1310" xr:uid="{00000000-0005-0000-0000-000021050000}"/>
    <cellStyle name="Style 1 5" xfId="1311" xr:uid="{00000000-0005-0000-0000-000022050000}"/>
    <cellStyle name="Style 1 6" xfId="1312" xr:uid="{00000000-0005-0000-0000-000023050000}"/>
    <cellStyle name="Style 1 7" xfId="1313" xr:uid="{00000000-0005-0000-0000-000024050000}"/>
    <cellStyle name="Style 1 8" xfId="1314" xr:uid="{00000000-0005-0000-0000-000025050000}"/>
    <cellStyle name="Style 1 9" xfId="1315" xr:uid="{00000000-0005-0000-0000-000026050000}"/>
    <cellStyle name="Title" xfId="1316" xr:uid="{00000000-0005-0000-0000-000027050000}"/>
    <cellStyle name="Title 10" xfId="1317" xr:uid="{00000000-0005-0000-0000-000028050000}"/>
    <cellStyle name="Title 11" xfId="1318" xr:uid="{00000000-0005-0000-0000-000029050000}"/>
    <cellStyle name="Title 12" xfId="1319" xr:uid="{00000000-0005-0000-0000-00002A050000}"/>
    <cellStyle name="Title 13" xfId="1320" xr:uid="{00000000-0005-0000-0000-00002B050000}"/>
    <cellStyle name="Title 14" xfId="1321" xr:uid="{00000000-0005-0000-0000-00002C050000}"/>
    <cellStyle name="Title 15" xfId="1322" xr:uid="{00000000-0005-0000-0000-00002D050000}"/>
    <cellStyle name="Title 16" xfId="1323" xr:uid="{00000000-0005-0000-0000-00002E050000}"/>
    <cellStyle name="Title 17" xfId="1324" xr:uid="{00000000-0005-0000-0000-00002F050000}"/>
    <cellStyle name="Title 18" xfId="1325" xr:uid="{00000000-0005-0000-0000-000030050000}"/>
    <cellStyle name="Title 19" xfId="1326" xr:uid="{00000000-0005-0000-0000-000031050000}"/>
    <cellStyle name="Title 2" xfId="1327" xr:uid="{00000000-0005-0000-0000-000032050000}"/>
    <cellStyle name="Title 20" xfId="1328" xr:uid="{00000000-0005-0000-0000-000033050000}"/>
    <cellStyle name="Title 21" xfId="1329" xr:uid="{00000000-0005-0000-0000-000034050000}"/>
    <cellStyle name="Title 22" xfId="1330" xr:uid="{00000000-0005-0000-0000-000035050000}"/>
    <cellStyle name="Title 23" xfId="1331" xr:uid="{00000000-0005-0000-0000-000036050000}"/>
    <cellStyle name="Title 24" xfId="1332" xr:uid="{00000000-0005-0000-0000-000037050000}"/>
    <cellStyle name="Title 25" xfId="1333" xr:uid="{00000000-0005-0000-0000-000038050000}"/>
    <cellStyle name="Title 26" xfId="1334" xr:uid="{00000000-0005-0000-0000-000039050000}"/>
    <cellStyle name="Title 27" xfId="1335" xr:uid="{00000000-0005-0000-0000-00003A050000}"/>
    <cellStyle name="Title 28" xfId="1336" xr:uid="{00000000-0005-0000-0000-00003B050000}"/>
    <cellStyle name="Title 29" xfId="1337" xr:uid="{00000000-0005-0000-0000-00003C050000}"/>
    <cellStyle name="Title 3" xfId="1338" xr:uid="{00000000-0005-0000-0000-00003D050000}"/>
    <cellStyle name="Title 4" xfId="1339" xr:uid="{00000000-0005-0000-0000-00003E050000}"/>
    <cellStyle name="Title 5" xfId="1340" xr:uid="{00000000-0005-0000-0000-00003F050000}"/>
    <cellStyle name="Title 6" xfId="1341" xr:uid="{00000000-0005-0000-0000-000040050000}"/>
    <cellStyle name="Title 7" xfId="1342" xr:uid="{00000000-0005-0000-0000-000041050000}"/>
    <cellStyle name="Title 8" xfId="1343" xr:uid="{00000000-0005-0000-0000-000042050000}"/>
    <cellStyle name="Title 9" xfId="1344" xr:uid="{00000000-0005-0000-0000-000043050000}"/>
    <cellStyle name="Warning Text" xfId="1345" xr:uid="{00000000-0005-0000-0000-00004405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CFF99"/>
      <rgbColor rgb="FFF9F9F9"/>
      <rgbColor rgb="FFDBEEF4"/>
      <rgbColor rgb="FF800000"/>
      <rgbColor rgb="FF008000"/>
      <rgbColor rgb="FF000080"/>
      <rgbColor rgb="FFEEECE1"/>
      <rgbColor rgb="FF800080"/>
      <rgbColor rgb="FF2C9243"/>
      <rgbColor rgb="FFC0C0C0"/>
      <rgbColor rgb="FF808080"/>
      <rgbColor rgb="FFDDD9C3"/>
      <rgbColor rgb="FFFDEADA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BE5D6"/>
      <rgbColor rgb="FFDCE6F2"/>
      <rgbColor rgb="FF800080"/>
      <rgbColor rgb="FF800000"/>
      <rgbColor rgb="FFEBF1DE"/>
      <rgbColor rgb="FF0000FF"/>
      <rgbColor rgb="FFDAE3F3"/>
      <rgbColor rgb="FFD2F9FE"/>
      <rgbColor rgb="FFCCFFCC"/>
      <rgbColor rgb="FFEBFED2"/>
      <rgbColor rgb="FF99CCFF"/>
      <rgbColor rgb="FFFF99CC"/>
      <rgbColor rgb="FFCC99FF"/>
      <rgbColor rgb="FFFFCC99"/>
      <rgbColor rgb="FFDEEBF7"/>
      <rgbColor rgb="FF33CCCC"/>
      <rgbColor rgb="FFE2F0D9"/>
      <rgbColor rgb="FFFFCC00"/>
      <rgbColor rgb="FFFF9900"/>
      <rgbColor rgb="FFFF6600"/>
      <rgbColor rgb="FF4A80AE"/>
      <rgbColor rgb="FF969696"/>
      <rgbColor rgb="FF003366"/>
      <rgbColor rgb="FF339966"/>
      <rgbColor rgb="FF003300"/>
      <rgbColor rgb="FF333300"/>
      <rgbColor rgb="FFEEEEEE"/>
      <rgbColor rgb="FFEDEDE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FAFE"/>
      <color rgb="FFFFF2CC"/>
      <color rgb="FFFFFF99"/>
      <color rgb="FF99FF66"/>
      <color rgb="FFF9E0AD"/>
      <color rgb="FFFFFF66"/>
      <color rgb="FFEDED79"/>
      <color rgb="FFC2F7F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711200</xdr:colOff>
      <xdr:row>57</xdr:row>
      <xdr:rowOff>0</xdr:rowOff>
    </xdr:from>
    <xdr:to>
      <xdr:col>26</xdr:col>
      <xdr:colOff>101325</xdr:colOff>
      <xdr:row>75</xdr:row>
      <xdr:rowOff>12245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5E34881-EB7C-4733-9A2E-CD86A27241C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895800" y="17259300"/>
          <a:ext cx="2942950" cy="34412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152401</xdr:colOff>
      <xdr:row>57</xdr:row>
      <xdr:rowOff>0</xdr:rowOff>
    </xdr:from>
    <xdr:to>
      <xdr:col>25</xdr:col>
      <xdr:colOff>25401</xdr:colOff>
      <xdr:row>80</xdr:row>
      <xdr:rowOff>79374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B16703-12DD-456A-A82E-DC36860CB1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" r="2983" b="6727"/>
        <a:stretch/>
      </xdr:blipFill>
      <xdr:spPr bwMode="auto">
        <a:xfrm>
          <a:off x="27813001" y="17259300"/>
          <a:ext cx="4597400" cy="4460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0</xdr:rowOff>
    </xdr:from>
    <xdr:to>
      <xdr:col>21</xdr:col>
      <xdr:colOff>28575</xdr:colOff>
      <xdr:row>57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69E50E-087E-4FCE-8F32-718993C9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0" y="17259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</xdr:row>
      <xdr:rowOff>0</xdr:rowOff>
    </xdr:from>
    <xdr:to>
      <xdr:col>7</xdr:col>
      <xdr:colOff>304800</xdr:colOff>
      <xdr:row>28</xdr:row>
      <xdr:rowOff>133350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EF869FAD-DC83-4666-B050-8C8D7B4AA3FF}"/>
            </a:ext>
          </a:extLst>
        </xdr:cNvPr>
        <xdr:cNvSpPr>
          <a:spLocks noChangeAspect="1" noChangeArrowheads="1"/>
        </xdr:cNvSpPr>
      </xdr:nvSpPr>
      <xdr:spPr bwMode="auto">
        <a:xfrm>
          <a:off x="5648325" y="8658225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38</xdr:row>
      <xdr:rowOff>0</xdr:rowOff>
    </xdr:from>
    <xdr:ext cx="304800" cy="304800"/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491C799B-8A1C-4037-BBD0-45A72FFD61F2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220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133350</xdr:rowOff>
    </xdr:to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5599E725-0A14-49B3-90A3-B861DD7C4E5E}"/>
            </a:ext>
          </a:extLst>
        </xdr:cNvPr>
        <xdr:cNvSpPr>
          <a:spLocks noChangeAspect="1" noChangeArrowheads="1"/>
        </xdr:cNvSpPr>
      </xdr:nvSpPr>
      <xdr:spPr bwMode="auto">
        <a:xfrm>
          <a:off x="9039225" y="747712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32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E7D2921B-EFA4-48CD-BD9D-9D1D7D428A05}"/>
            </a:ext>
          </a:extLst>
        </xdr:cNvPr>
        <xdr:cNvSpPr>
          <a:spLocks noChangeAspect="1" noChangeArrowheads="1"/>
        </xdr:cNvSpPr>
      </xdr:nvSpPr>
      <xdr:spPr bwMode="auto">
        <a:xfrm>
          <a:off x="14859000" y="74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253999</xdr:rowOff>
    </xdr:from>
    <xdr:to>
      <xdr:col>16</xdr:col>
      <xdr:colOff>596900</xdr:colOff>
      <xdr:row>40</xdr:row>
      <xdr:rowOff>18754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E2E138-FA54-4CA2-BF75-38FAF2DF0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7" t="37374" r="14266" b="31999"/>
        <a:stretch/>
      </xdr:blipFill>
      <xdr:spPr bwMode="auto">
        <a:xfrm>
          <a:off x="0" y="253999"/>
          <a:ext cx="12788900" cy="74514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%20Propuesta%20Tecnologias%20Tratamiento%20y%20Piscicultura/Calculos/PARA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2%20Propuesta%20Tecnologias%20Tratamiento%20y%20Piscicultura\Actualizacion%202023\Contenidos%2023\Planta%20Pincta%202.xlsx" TargetMode="External"/><Relationship Id="rId1" Type="http://schemas.openxmlformats.org/officeDocument/2006/relationships/externalLinkPath" Target="Planta%20Pincta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24666f4bd078e6d/Documentos/2%20Propuesta%20Tecnologias%20Tratamiento%20y%20Piscicultura/Actualizacion%202023/Contenidos%2023/Escalera%20para%20Peces.xlsx" TargetMode="External"/><Relationship Id="rId1" Type="http://schemas.openxmlformats.org/officeDocument/2006/relationships/externalLinkPath" Target="Escalera%20para%20Pe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 BRAC obs"/>
      <sheetName val="Boquilla"/>
      <sheetName val="Parrilla 1-4&quot;"/>
      <sheetName val="Parrilla Cuad"/>
      <sheetName val="Parab "/>
      <sheetName val="Alimentacion y O2"/>
      <sheetName val="Camaron"/>
      <sheetName val="Estruc"/>
      <sheetName val="Lag Eutro"/>
      <sheetName val="Diag"/>
      <sheetName val="Diag Biorreact"/>
      <sheetName val="Datos tilapia"/>
      <sheetName val="Parab PE OBS"/>
      <sheetName val="Diag 2"/>
      <sheetName val="Cal BRAC"/>
      <sheetName val="Tuberias"/>
    </sheetNames>
    <sheetDataSet>
      <sheetData sheetId="0"/>
      <sheetData sheetId="1"/>
      <sheetData sheetId="2">
        <row r="22">
          <cell r="E22">
            <v>10.6656</v>
          </cell>
        </row>
      </sheetData>
      <sheetData sheetId="3"/>
      <sheetData sheetId="4">
        <row r="27">
          <cell r="G27">
            <v>12000</v>
          </cell>
        </row>
        <row r="72">
          <cell r="G72">
            <v>0.3256</v>
          </cell>
        </row>
      </sheetData>
      <sheetData sheetId="5">
        <row r="32">
          <cell r="N32">
            <v>82.803022200000001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rilla de Aireación "/>
      <sheetName val="Planta Pincta"/>
      <sheetName val="Nitrificación"/>
      <sheetName val="Agua-T(°C)"/>
      <sheetName val="Tuberias de Aireación"/>
      <sheetName val="Tubería de Succión"/>
      <sheetName val="Tubería de Aireación"/>
      <sheetName val="Diagrama de Moody"/>
      <sheetName val="Escalera"/>
      <sheetName val="Tuberia de Soplador"/>
    </sheetNames>
    <sheetDataSet>
      <sheetData sheetId="0">
        <row r="18">
          <cell r="E18">
            <v>25</v>
          </cell>
          <cell r="G18">
            <v>25</v>
          </cell>
        </row>
        <row r="74">
          <cell r="G74">
            <v>25.328159845251612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alera"/>
      <sheetName val="Datos Escalera"/>
    </sheetNames>
    <sheetDataSet>
      <sheetData sheetId="0"/>
      <sheetData sheetId="1">
        <row r="4">
          <cell r="A4">
            <v>3</v>
          </cell>
          <cell r="B4">
            <v>0.99199999999999999</v>
          </cell>
          <cell r="C4">
            <v>1.55</v>
          </cell>
        </row>
        <row r="5">
          <cell r="A5">
            <v>6</v>
          </cell>
          <cell r="B5">
            <v>2.06</v>
          </cell>
          <cell r="C5">
            <v>1.58</v>
          </cell>
        </row>
        <row r="6">
          <cell r="A6">
            <v>9</v>
          </cell>
          <cell r="B6">
            <v>3.07</v>
          </cell>
          <cell r="C6">
            <v>1.53</v>
          </cell>
        </row>
        <row r="7">
          <cell r="A7">
            <v>12</v>
          </cell>
          <cell r="B7">
            <v>4</v>
          </cell>
          <cell r="C7">
            <v>1.522</v>
          </cell>
        </row>
        <row r="8">
          <cell r="A8">
            <v>18</v>
          </cell>
          <cell r="B8">
            <v>6</v>
          </cell>
          <cell r="C8">
            <v>1.538</v>
          </cell>
        </row>
        <row r="9">
          <cell r="A9">
            <v>24</v>
          </cell>
          <cell r="B9">
            <v>8</v>
          </cell>
          <cell r="C9">
            <v>1.55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thermexcel.com/english/tables/eau_atm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15F4-EF3F-4448-A9E0-166A01E3D070}">
  <dimension ref="A1:AMK112"/>
  <sheetViews>
    <sheetView showGridLines="0" topLeftCell="B1" zoomScale="75" zoomScaleNormal="75" workbookViewId="0">
      <selection activeCell="J20" sqref="J20"/>
    </sheetView>
  </sheetViews>
  <sheetFormatPr baseColWidth="10" defaultColWidth="9.140625" defaultRowHeight="15" x14ac:dyDescent="0.25"/>
  <cols>
    <col min="1" max="1" width="22.85546875" customWidth="1"/>
    <col min="2" max="2" width="49.140625" style="3" customWidth="1"/>
    <col min="3" max="3" width="65.5703125" style="1" customWidth="1"/>
    <col min="4" max="4" width="11.5703125" style="16" customWidth="1"/>
    <col min="5" max="5" width="10.140625" style="1" customWidth="1"/>
    <col min="6" max="6" width="21.140625" style="1" customWidth="1"/>
    <col min="7" max="7" width="17" style="14" customWidth="1"/>
    <col min="8" max="8" width="15" style="1" customWidth="1"/>
    <col min="9" max="9" width="12.7109375" style="1" customWidth="1"/>
    <col min="10" max="10" width="38.5703125" style="1" customWidth="1"/>
    <col min="11" max="11" width="21.5703125" style="1" customWidth="1"/>
    <col min="12" max="12" width="18.28515625" style="1" customWidth="1"/>
    <col min="13" max="13" width="15.5703125" style="1" customWidth="1"/>
    <col min="14" max="1025" width="11.42578125" style="1" customWidth="1"/>
  </cols>
  <sheetData>
    <row r="1" spans="1:10" ht="15.75" x14ac:dyDescent="0.25">
      <c r="B1" s="98"/>
      <c r="C1" s="304" t="s">
        <v>42</v>
      </c>
      <c r="D1" s="2"/>
      <c r="F1" s="2"/>
      <c r="G1" s="18"/>
    </row>
    <row r="2" spans="1:10" x14ac:dyDescent="0.25">
      <c r="B2" s="98"/>
      <c r="C2" s="96" t="s">
        <v>388</v>
      </c>
      <c r="D2" s="2"/>
      <c r="F2" s="2"/>
      <c r="G2" s="18"/>
    </row>
    <row r="3" spans="1:10" x14ac:dyDescent="0.25">
      <c r="B3" s="98"/>
      <c r="C3" s="4" t="s">
        <v>0</v>
      </c>
      <c r="D3" s="301"/>
      <c r="F3" s="2"/>
      <c r="G3" s="18"/>
    </row>
    <row r="4" spans="1:10" x14ac:dyDescent="0.25">
      <c r="B4" s="98"/>
      <c r="C4" s="7" t="s">
        <v>106</v>
      </c>
      <c r="D4" s="301"/>
      <c r="F4" s="2"/>
      <c r="G4" s="18"/>
    </row>
    <row r="5" spans="1:10" x14ac:dyDescent="0.25">
      <c r="B5" s="98"/>
      <c r="C5" s="80" t="s">
        <v>292</v>
      </c>
      <c r="D5" s="302"/>
      <c r="G5" s="18"/>
    </row>
    <row r="6" spans="1:10" x14ac:dyDescent="0.25">
      <c r="B6" s="98"/>
      <c r="C6" s="96" t="s">
        <v>389</v>
      </c>
      <c r="D6" s="96"/>
      <c r="F6" s="2"/>
      <c r="G6" s="18"/>
    </row>
    <row r="7" spans="1:10" x14ac:dyDescent="0.25">
      <c r="B7" s="98"/>
      <c r="C7" s="74" t="s">
        <v>293</v>
      </c>
      <c r="D7" s="303"/>
      <c r="F7" s="2"/>
      <c r="G7" s="18"/>
    </row>
    <row r="8" spans="1:10" x14ac:dyDescent="0.25">
      <c r="B8" s="98"/>
      <c r="C8" s="32" t="s">
        <v>1</v>
      </c>
      <c r="D8" s="301"/>
      <c r="F8" s="2"/>
      <c r="G8" s="18"/>
    </row>
    <row r="9" spans="1:10" x14ac:dyDescent="0.25">
      <c r="B9" s="98"/>
      <c r="C9" s="82" t="s">
        <v>93</v>
      </c>
      <c r="D9" s="301"/>
      <c r="E9" s="5"/>
      <c r="F9" s="5"/>
      <c r="G9" s="18"/>
      <c r="H9" s="5"/>
    </row>
    <row r="10" spans="1:10" x14ac:dyDescent="0.25">
      <c r="B10" s="98"/>
      <c r="C10" s="113" t="s">
        <v>294</v>
      </c>
      <c r="D10" s="288"/>
      <c r="E10" s="527"/>
      <c r="F10" s="667"/>
      <c r="G10" s="18"/>
      <c r="H10" s="5"/>
    </row>
    <row r="11" spans="1:10" ht="31.5" customHeight="1" x14ac:dyDescent="0.25">
      <c r="A11" s="414" t="s">
        <v>425</v>
      </c>
      <c r="B11" s="414" t="s">
        <v>113</v>
      </c>
      <c r="C11" s="527"/>
      <c r="D11" s="89"/>
      <c r="E11" s="89"/>
      <c r="F11" s="92"/>
      <c r="G11" s="414" t="s">
        <v>390</v>
      </c>
      <c r="H11" s="415" t="s">
        <v>391</v>
      </c>
    </row>
    <row r="12" spans="1:10" ht="21.75" customHeight="1" x14ac:dyDescent="0.25">
      <c r="A12" s="102"/>
      <c r="B12" s="599"/>
      <c r="C12" s="703" t="s">
        <v>361</v>
      </c>
      <c r="D12" s="703"/>
      <c r="E12" s="703"/>
      <c r="F12" s="703"/>
      <c r="G12" s="465"/>
      <c r="H12" s="466"/>
    </row>
    <row r="13" spans="1:10" ht="15" customHeight="1" x14ac:dyDescent="0.25">
      <c r="A13" s="102"/>
      <c r="B13" s="365"/>
      <c r="C13" s="20" t="s">
        <v>362</v>
      </c>
      <c r="D13" s="22"/>
      <c r="E13" s="12"/>
      <c r="F13" s="12"/>
      <c r="G13" s="467"/>
      <c r="H13" s="468"/>
      <c r="I13" s="101"/>
      <c r="J13" s="5"/>
    </row>
    <row r="14" spans="1:10" ht="15" customHeight="1" x14ac:dyDescent="0.25">
      <c r="A14" s="102"/>
      <c r="B14" s="592"/>
      <c r="C14" s="68" t="s">
        <v>267</v>
      </c>
      <c r="D14" s="69" t="s">
        <v>372</v>
      </c>
      <c r="E14" s="366">
        <v>3</v>
      </c>
      <c r="F14" s="384" t="s">
        <v>19</v>
      </c>
      <c r="G14" s="412">
        <v>3</v>
      </c>
      <c r="H14" s="413">
        <f>G14-E14</f>
        <v>0</v>
      </c>
      <c r="I14" s="101"/>
      <c r="J14" s="5"/>
    </row>
    <row r="15" spans="1:10" ht="15" customHeight="1" x14ac:dyDescent="0.25">
      <c r="A15" s="102"/>
      <c r="B15" s="575"/>
      <c r="C15" s="12" t="s">
        <v>419</v>
      </c>
      <c r="D15" s="22"/>
      <c r="E15" s="99">
        <f>'Planta Pincta'!E28</f>
        <v>56.267496595766012</v>
      </c>
      <c r="F15" s="398" t="s">
        <v>5</v>
      </c>
      <c r="G15" s="471">
        <f>'Planta Pincta'!G28</f>
        <v>56.267496595766012</v>
      </c>
      <c r="H15" s="413">
        <f t="shared" ref="H15:H78" si="0">G15-E15</f>
        <v>0</v>
      </c>
      <c r="I15" s="101"/>
      <c r="J15" s="5"/>
    </row>
    <row r="16" spans="1:10" ht="15" customHeight="1" x14ac:dyDescent="0.25">
      <c r="A16" s="102"/>
      <c r="B16" s="581"/>
      <c r="C16" s="637" t="s">
        <v>420</v>
      </c>
      <c r="D16" s="638"/>
      <c r="E16" s="639">
        <f>'Planta Pincta'!E29</f>
        <v>56</v>
      </c>
      <c r="F16" s="640" t="s">
        <v>5</v>
      </c>
      <c r="G16" s="573">
        <f>'Planta Pincta'!E29</f>
        <v>56</v>
      </c>
      <c r="H16" s="413">
        <f>G16-E16</f>
        <v>0</v>
      </c>
      <c r="I16" s="29"/>
      <c r="J16" s="29"/>
    </row>
    <row r="17" spans="1:10" ht="15" customHeight="1" x14ac:dyDescent="0.25">
      <c r="A17" s="102"/>
      <c r="B17" s="575"/>
      <c r="C17" s="328" t="s">
        <v>14</v>
      </c>
      <c r="D17" s="329"/>
      <c r="E17" s="644">
        <v>1000</v>
      </c>
      <c r="F17" s="393" t="s">
        <v>15</v>
      </c>
      <c r="G17" s="459">
        <v>1000</v>
      </c>
      <c r="H17" s="413">
        <f t="shared" si="0"/>
        <v>0</v>
      </c>
      <c r="I17" s="29"/>
      <c r="J17" s="29"/>
    </row>
    <row r="18" spans="1:10" ht="15" customHeight="1" x14ac:dyDescent="0.25">
      <c r="A18" s="102"/>
      <c r="B18" s="575"/>
      <c r="C18" s="328" t="s">
        <v>16</v>
      </c>
      <c r="D18" s="329" t="s">
        <v>17</v>
      </c>
      <c r="E18" s="645">
        <v>25</v>
      </c>
      <c r="F18" s="393" t="s">
        <v>115</v>
      </c>
      <c r="G18" s="469">
        <v>25</v>
      </c>
      <c r="H18" s="413">
        <f t="shared" si="0"/>
        <v>0</v>
      </c>
      <c r="I18" s="29"/>
      <c r="J18" s="29"/>
    </row>
    <row r="19" spans="1:10" ht="15" customHeight="1" x14ac:dyDescent="0.25">
      <c r="A19" s="102"/>
      <c r="B19" s="575"/>
      <c r="C19" s="364" t="s">
        <v>359</v>
      </c>
      <c r="D19" s="22"/>
      <c r="E19" s="12"/>
      <c r="F19" s="12"/>
      <c r="G19" s="113"/>
      <c r="H19" s="335"/>
      <c r="I19"/>
      <c r="J19"/>
    </row>
    <row r="20" spans="1:10" ht="15" customHeight="1" x14ac:dyDescent="0.25">
      <c r="A20" s="102"/>
      <c r="B20" s="575"/>
      <c r="C20" s="305" t="s">
        <v>120</v>
      </c>
      <c r="D20" s="241"/>
      <c r="E20" s="237">
        <v>1</v>
      </c>
      <c r="F20" s="385" t="s">
        <v>11</v>
      </c>
      <c r="G20" s="412">
        <v>1</v>
      </c>
      <c r="H20" s="413">
        <f t="shared" si="0"/>
        <v>0</v>
      </c>
      <c r="I20"/>
      <c r="J20"/>
    </row>
    <row r="21" spans="1:10" ht="15" customHeight="1" x14ac:dyDescent="0.25">
      <c r="A21" s="102"/>
      <c r="B21" s="581"/>
      <c r="C21" s="10" t="s">
        <v>121</v>
      </c>
      <c r="D21" s="105"/>
      <c r="E21" s="106">
        <v>0</v>
      </c>
      <c r="F21" s="386" t="s">
        <v>122</v>
      </c>
      <c r="G21" s="470">
        <v>0</v>
      </c>
      <c r="H21" s="413">
        <f t="shared" si="0"/>
        <v>0</v>
      </c>
      <c r="I21"/>
      <c r="J21"/>
    </row>
    <row r="22" spans="1:10" ht="15" customHeight="1" x14ac:dyDescent="0.35">
      <c r="A22" s="102"/>
      <c r="B22" s="581" t="s">
        <v>325</v>
      </c>
      <c r="C22" s="253" t="s">
        <v>123</v>
      </c>
      <c r="D22" s="254" t="s">
        <v>271</v>
      </c>
      <c r="E22" s="276">
        <f>VLOOKUP(ROUND(E18,0),'Agua-T(°C)'!B6:I46,6)</f>
        <v>8.24</v>
      </c>
      <c r="F22" s="387" t="s">
        <v>19</v>
      </c>
      <c r="G22" s="471">
        <f>VLOOKUP(ROUND(G18,0),'Agua-T(°C)'!B6:I46,6)</f>
        <v>8.24</v>
      </c>
      <c r="H22" s="413">
        <f t="shared" si="0"/>
        <v>0</v>
      </c>
      <c r="I22" s="29"/>
      <c r="J22" s="29"/>
    </row>
    <row r="23" spans="1:10" ht="15" customHeight="1" x14ac:dyDescent="0.35">
      <c r="A23" s="102"/>
      <c r="B23" s="581"/>
      <c r="C23" s="253" t="s">
        <v>124</v>
      </c>
      <c r="D23" s="254" t="s">
        <v>272</v>
      </c>
      <c r="E23" s="256">
        <f>E22*EXP(E64)</f>
        <v>7.3474308724449315</v>
      </c>
      <c r="F23" s="387" t="s">
        <v>19</v>
      </c>
      <c r="G23" s="472">
        <f>G22*EXP(G64)</f>
        <v>7.3474308724449315</v>
      </c>
      <c r="H23" s="413">
        <f t="shared" si="0"/>
        <v>0</v>
      </c>
      <c r="I23" s="29"/>
      <c r="J23" s="29"/>
    </row>
    <row r="24" spans="1:10" ht="15" customHeight="1" x14ac:dyDescent="0.25">
      <c r="A24" s="102"/>
      <c r="B24" s="581" t="s">
        <v>319</v>
      </c>
      <c r="C24" s="633" t="s">
        <v>315</v>
      </c>
      <c r="D24" s="634"/>
      <c r="E24" s="635">
        <v>0.7</v>
      </c>
      <c r="F24" s="636" t="s">
        <v>11</v>
      </c>
      <c r="G24" s="472">
        <v>0.7</v>
      </c>
      <c r="H24" s="413">
        <f t="shared" si="0"/>
        <v>0</v>
      </c>
      <c r="I24" s="29"/>
      <c r="J24" s="29"/>
    </row>
    <row r="25" spans="1:10" ht="15" customHeight="1" x14ac:dyDescent="0.25">
      <c r="A25" s="102"/>
      <c r="B25" s="581"/>
      <c r="C25" s="233" t="s">
        <v>316</v>
      </c>
      <c r="D25" s="234"/>
      <c r="E25" s="214">
        <v>0.3</v>
      </c>
      <c r="F25" s="388" t="s">
        <v>11</v>
      </c>
      <c r="G25" s="473">
        <v>0.3</v>
      </c>
      <c r="H25" s="413">
        <f t="shared" si="0"/>
        <v>0</v>
      </c>
      <c r="I25" s="29"/>
      <c r="J25" s="29"/>
    </row>
    <row r="26" spans="1:10" ht="15" customHeight="1" x14ac:dyDescent="0.25">
      <c r="A26" s="102"/>
      <c r="B26" s="581"/>
      <c r="C26" s="367" t="s">
        <v>364</v>
      </c>
      <c r="D26" s="368"/>
      <c r="E26" s="369">
        <f>E24+E25</f>
        <v>1</v>
      </c>
      <c r="F26" s="389" t="s">
        <v>11</v>
      </c>
      <c r="G26" s="472">
        <f>G24+G25</f>
        <v>1</v>
      </c>
      <c r="H26" s="413">
        <f t="shared" si="0"/>
        <v>0</v>
      </c>
      <c r="I26" s="29"/>
      <c r="J26" s="29"/>
    </row>
    <row r="27" spans="1:10" ht="15" customHeight="1" x14ac:dyDescent="0.25">
      <c r="A27" s="102"/>
      <c r="B27" s="581"/>
      <c r="C27" s="277"/>
      <c r="D27" s="278" t="s">
        <v>125</v>
      </c>
      <c r="E27" s="279">
        <f>E26*9.8</f>
        <v>9.8000000000000007</v>
      </c>
      <c r="F27" s="390" t="s">
        <v>18</v>
      </c>
      <c r="G27" s="474">
        <f>G26*9.8</f>
        <v>9.8000000000000007</v>
      </c>
      <c r="H27" s="413">
        <f t="shared" si="0"/>
        <v>0</v>
      </c>
      <c r="I27" s="29"/>
      <c r="J27" s="29"/>
    </row>
    <row r="28" spans="1:10" ht="15" customHeight="1" x14ac:dyDescent="0.25">
      <c r="A28" s="102"/>
      <c r="B28" s="593" t="s">
        <v>327</v>
      </c>
      <c r="C28" s="280" t="s">
        <v>126</v>
      </c>
      <c r="D28" s="78" t="s">
        <v>127</v>
      </c>
      <c r="E28" s="255">
        <f>E23*(E71+E27/2)/E71</f>
        <v>7.7458913481184739</v>
      </c>
      <c r="F28" s="391" t="s">
        <v>19</v>
      </c>
      <c r="G28" s="471">
        <f>G23*(G71+G27/2)/G71</f>
        <v>7.7458913481184739</v>
      </c>
      <c r="H28" s="413">
        <f t="shared" si="0"/>
        <v>0</v>
      </c>
      <c r="I28"/>
      <c r="J28"/>
    </row>
    <row r="29" spans="1:10" ht="15" customHeight="1" x14ac:dyDescent="0.25">
      <c r="A29" s="102"/>
      <c r="B29" s="107" t="s">
        <v>473</v>
      </c>
      <c r="C29" s="235" t="s">
        <v>128</v>
      </c>
      <c r="D29" s="236" t="s">
        <v>129</v>
      </c>
      <c r="E29" s="237">
        <v>0.95</v>
      </c>
      <c r="F29" s="392"/>
      <c r="G29" s="412">
        <v>0.95</v>
      </c>
      <c r="H29" s="413">
        <f t="shared" si="0"/>
        <v>0</v>
      </c>
      <c r="I29"/>
      <c r="J29"/>
    </row>
    <row r="30" spans="1:10" ht="15" customHeight="1" x14ac:dyDescent="0.25">
      <c r="A30" s="102"/>
      <c r="B30" s="581" t="s">
        <v>325</v>
      </c>
      <c r="C30" s="235" t="s">
        <v>130</v>
      </c>
      <c r="D30" s="236" t="s">
        <v>127</v>
      </c>
      <c r="E30" s="237">
        <v>9.08</v>
      </c>
      <c r="F30" s="392" t="s">
        <v>19</v>
      </c>
      <c r="G30" s="412">
        <v>9.08</v>
      </c>
      <c r="H30" s="413">
        <f t="shared" si="0"/>
        <v>0</v>
      </c>
      <c r="I30"/>
      <c r="J30"/>
    </row>
    <row r="31" spans="1:10" ht="15" customHeight="1" x14ac:dyDescent="0.25">
      <c r="A31" s="102"/>
      <c r="B31" s="575" t="s">
        <v>295</v>
      </c>
      <c r="C31" s="328" t="s">
        <v>296</v>
      </c>
      <c r="D31" s="329" t="s">
        <v>36</v>
      </c>
      <c r="E31" s="330">
        <v>8</v>
      </c>
      <c r="F31" s="393" t="s">
        <v>2</v>
      </c>
      <c r="G31" s="412">
        <v>8</v>
      </c>
      <c r="H31" s="413">
        <f t="shared" si="0"/>
        <v>0</v>
      </c>
      <c r="I31"/>
      <c r="J31"/>
    </row>
    <row r="32" spans="1:10" ht="15" customHeight="1" x14ac:dyDescent="0.25">
      <c r="A32" s="102"/>
      <c r="B32" s="575"/>
      <c r="C32" s="326" t="s">
        <v>78</v>
      </c>
      <c r="D32" s="327" t="s">
        <v>3</v>
      </c>
      <c r="E32" s="99">
        <f>E31^2/19.6</f>
        <v>3.2653061224489792</v>
      </c>
      <c r="F32" s="306" t="s">
        <v>4</v>
      </c>
      <c r="G32" s="412">
        <f>G31^2/19.6</f>
        <v>3.2653061224489792</v>
      </c>
      <c r="H32" s="413">
        <f t="shared" si="0"/>
        <v>0</v>
      </c>
      <c r="I32"/>
      <c r="J32"/>
    </row>
    <row r="33" spans="1:10" ht="15" customHeight="1" x14ac:dyDescent="0.25">
      <c r="A33" s="102"/>
      <c r="B33" s="575" t="s">
        <v>131</v>
      </c>
      <c r="C33" s="12" t="s">
        <v>132</v>
      </c>
      <c r="D33" s="8"/>
      <c r="E33" s="99">
        <f>E106</f>
        <v>80.644999999999996</v>
      </c>
      <c r="F33" s="12" t="s">
        <v>7</v>
      </c>
      <c r="G33" s="437">
        <f>E106</f>
        <v>80.644999999999996</v>
      </c>
      <c r="H33" s="413">
        <f t="shared" si="0"/>
        <v>0</v>
      </c>
      <c r="I33"/>
      <c r="J33"/>
    </row>
    <row r="34" spans="1:10" ht="15" customHeight="1" x14ac:dyDescent="0.25">
      <c r="A34" s="102"/>
      <c r="B34" s="575"/>
      <c r="C34" s="306" t="s">
        <v>79</v>
      </c>
      <c r="D34" s="8"/>
      <c r="E34" s="99">
        <f>1000*E33*E31/1000000</f>
        <v>0.64515999999999996</v>
      </c>
      <c r="F34" s="306" t="s">
        <v>8</v>
      </c>
      <c r="G34" s="437">
        <f>1000*G33*G31/1000000</f>
        <v>0.64515999999999996</v>
      </c>
      <c r="H34" s="413">
        <f t="shared" si="0"/>
        <v>0</v>
      </c>
      <c r="I34"/>
      <c r="J34"/>
    </row>
    <row r="35" spans="1:10" ht="15" customHeight="1" x14ac:dyDescent="0.25">
      <c r="A35" s="102"/>
      <c r="B35" s="581" t="s">
        <v>322</v>
      </c>
      <c r="C35" s="95" t="s">
        <v>155</v>
      </c>
      <c r="D35" s="112"/>
      <c r="E35" s="333">
        <f>'Planta Pincta'!E26</f>
        <v>4</v>
      </c>
      <c r="F35" s="95" t="s">
        <v>5</v>
      </c>
      <c r="G35" s="646">
        <f>'Planta Pincta'!G26</f>
        <v>4</v>
      </c>
      <c r="H35" s="413">
        <f t="shared" si="0"/>
        <v>0</v>
      </c>
      <c r="I35"/>
      <c r="J35"/>
    </row>
    <row r="36" spans="1:10" ht="15" customHeight="1" x14ac:dyDescent="0.25">
      <c r="A36" s="102"/>
      <c r="B36" s="581" t="s">
        <v>334</v>
      </c>
      <c r="C36" s="95" t="s">
        <v>333</v>
      </c>
      <c r="D36" s="112"/>
      <c r="E36" s="97">
        <f>'Tuberias de Aireación'!E20</f>
        <v>39.400622446824514</v>
      </c>
      <c r="F36" s="95" t="s">
        <v>11</v>
      </c>
      <c r="G36" s="437">
        <f>'Tuberias de Aireación'!G20</f>
        <v>39.400622446824514</v>
      </c>
      <c r="H36" s="413">
        <f t="shared" si="0"/>
        <v>0</v>
      </c>
      <c r="I36"/>
      <c r="J36"/>
    </row>
    <row r="37" spans="1:10" ht="15" customHeight="1" x14ac:dyDescent="0.25">
      <c r="A37" s="102"/>
      <c r="B37" s="581"/>
      <c r="C37" s="95" t="s">
        <v>297</v>
      </c>
      <c r="D37" s="112"/>
      <c r="E37" s="97">
        <f>E15*E34</f>
        <v>36.301538103724397</v>
      </c>
      <c r="F37" s="95" t="s">
        <v>8</v>
      </c>
      <c r="G37" s="437">
        <f>G15*G34</f>
        <v>36.301538103724397</v>
      </c>
      <c r="H37" s="413">
        <f t="shared" si="0"/>
        <v>0</v>
      </c>
      <c r="I37"/>
      <c r="J37"/>
    </row>
    <row r="38" spans="1:10" ht="15" customHeight="1" x14ac:dyDescent="0.25">
      <c r="A38" s="102"/>
      <c r="B38" s="575"/>
      <c r="C38" s="95" t="s">
        <v>156</v>
      </c>
      <c r="D38" s="112" t="s">
        <v>311</v>
      </c>
      <c r="E38" s="97">
        <f>E37/E35</f>
        <v>9.0753845259310992</v>
      </c>
      <c r="F38" s="95" t="s">
        <v>8</v>
      </c>
      <c r="G38" s="437">
        <f>G37/G35</f>
        <v>9.0753845259310992</v>
      </c>
      <c r="H38" s="413">
        <f t="shared" si="0"/>
        <v>0</v>
      </c>
      <c r="I38"/>
      <c r="J38"/>
    </row>
    <row r="39" spans="1:10" ht="15" customHeight="1" x14ac:dyDescent="0.25">
      <c r="A39" s="102"/>
      <c r="B39" s="581" t="s">
        <v>387</v>
      </c>
      <c r="C39" s="12" t="s">
        <v>80</v>
      </c>
      <c r="D39" s="8" t="s">
        <v>12</v>
      </c>
      <c r="E39" s="325">
        <f>9.81*0.001*E32*E34</f>
        <v>2.0666186448979593E-2</v>
      </c>
      <c r="F39" s="12" t="s">
        <v>13</v>
      </c>
      <c r="G39" s="664">
        <f>9.81*0.001*G32*G34</f>
        <v>2.0666186448979593E-2</v>
      </c>
      <c r="H39" s="413">
        <f t="shared" si="0"/>
        <v>0</v>
      </c>
      <c r="I39"/>
      <c r="J39"/>
    </row>
    <row r="40" spans="1:10" ht="15" customHeight="1" x14ac:dyDescent="0.25">
      <c r="A40" s="102"/>
      <c r="B40" s="581"/>
      <c r="C40" s="113" t="s">
        <v>133</v>
      </c>
      <c r="D40" s="8" t="s">
        <v>134</v>
      </c>
      <c r="E40" s="99">
        <f>2*E107</f>
        <v>6.35</v>
      </c>
      <c r="F40" s="12" t="s">
        <v>6</v>
      </c>
      <c r="G40" s="437">
        <f>2*E107</f>
        <v>6.35</v>
      </c>
      <c r="H40" s="413">
        <f t="shared" si="0"/>
        <v>0</v>
      </c>
      <c r="I40"/>
      <c r="J40"/>
    </row>
    <row r="41" spans="1:10" ht="15" customHeight="1" x14ac:dyDescent="0.25">
      <c r="A41" s="102"/>
      <c r="B41" s="581" t="s">
        <v>378</v>
      </c>
      <c r="C41" s="114" t="s">
        <v>301</v>
      </c>
      <c r="D41" s="115" t="s">
        <v>135</v>
      </c>
      <c r="E41" s="116">
        <f>2.954-0.13*E40</f>
        <v>2.1285000000000003</v>
      </c>
      <c r="F41" s="394" t="s">
        <v>50</v>
      </c>
      <c r="G41" s="412">
        <f>2.954-0.13*G40</f>
        <v>2.1285000000000003</v>
      </c>
      <c r="H41" s="413">
        <f t="shared" si="0"/>
        <v>0</v>
      </c>
      <c r="I41"/>
      <c r="J41"/>
    </row>
    <row r="42" spans="1:10" ht="15" customHeight="1" x14ac:dyDescent="0.25">
      <c r="A42" s="102"/>
      <c r="B42" s="581" t="s">
        <v>386</v>
      </c>
      <c r="C42" s="322" t="s">
        <v>300</v>
      </c>
      <c r="D42" s="323" t="s">
        <v>136</v>
      </c>
      <c r="E42" s="324">
        <f>E15*E39*E41</f>
        <v>2.4750933943038573</v>
      </c>
      <c r="F42" s="395" t="s">
        <v>26</v>
      </c>
      <c r="G42" s="412">
        <f>G15*G39*G41</f>
        <v>2.4750933943038573</v>
      </c>
      <c r="H42" s="413">
        <f t="shared" si="0"/>
        <v>0</v>
      </c>
      <c r="I42"/>
      <c r="J42"/>
    </row>
    <row r="43" spans="1:10" ht="15" customHeight="1" x14ac:dyDescent="0.25">
      <c r="A43" s="102"/>
      <c r="B43" s="581" t="s">
        <v>379</v>
      </c>
      <c r="C43" s="238" t="s">
        <v>137</v>
      </c>
      <c r="D43" s="236" t="s">
        <v>138</v>
      </c>
      <c r="E43" s="237">
        <v>0.95</v>
      </c>
      <c r="F43" s="392"/>
      <c r="G43" s="412">
        <v>0.95</v>
      </c>
      <c r="H43" s="413">
        <f t="shared" si="0"/>
        <v>0</v>
      </c>
      <c r="I43"/>
      <c r="J43"/>
    </row>
    <row r="44" spans="1:10" ht="15" customHeight="1" x14ac:dyDescent="0.25">
      <c r="A44" s="102"/>
      <c r="B44" s="581"/>
      <c r="C44" s="235" t="s">
        <v>139</v>
      </c>
      <c r="D44" s="239" t="s">
        <v>358</v>
      </c>
      <c r="E44" s="237"/>
      <c r="F44" s="392"/>
      <c r="G44" s="412"/>
      <c r="H44" s="413"/>
      <c r="I44"/>
      <c r="J44"/>
    </row>
    <row r="45" spans="1:10" ht="15" customHeight="1" x14ac:dyDescent="0.25">
      <c r="A45" s="102"/>
      <c r="B45" s="583" t="s">
        <v>384</v>
      </c>
      <c r="C45" s="235" t="s">
        <v>128</v>
      </c>
      <c r="D45" s="236" t="s">
        <v>129</v>
      </c>
      <c r="E45" s="237">
        <v>0.95</v>
      </c>
      <c r="F45" s="392"/>
      <c r="G45" s="412">
        <v>0.95</v>
      </c>
      <c r="H45" s="413">
        <f t="shared" si="0"/>
        <v>0</v>
      </c>
      <c r="I45"/>
      <c r="J45"/>
    </row>
    <row r="46" spans="1:10" ht="15" customHeight="1" x14ac:dyDescent="0.25">
      <c r="A46" s="102"/>
      <c r="B46" s="581" t="s">
        <v>325</v>
      </c>
      <c r="C46" s="117" t="s">
        <v>130</v>
      </c>
      <c r="D46" s="118" t="s">
        <v>140</v>
      </c>
      <c r="E46" s="104">
        <f>'Agua-T(°C)'!G26</f>
        <v>9.08</v>
      </c>
      <c r="F46" s="396" t="s">
        <v>19</v>
      </c>
      <c r="G46" s="412">
        <f>'Agua-T(°C)'!G26</f>
        <v>9.08</v>
      </c>
      <c r="H46" s="413">
        <f t="shared" si="0"/>
        <v>0</v>
      </c>
      <c r="I46"/>
      <c r="J46"/>
    </row>
    <row r="47" spans="1:10" ht="15" customHeight="1" x14ac:dyDescent="0.25">
      <c r="A47" s="102"/>
      <c r="B47" s="593" t="s">
        <v>317</v>
      </c>
      <c r="C47" s="249" t="s">
        <v>141</v>
      </c>
      <c r="D47" s="247" t="s">
        <v>20</v>
      </c>
      <c r="E47" s="248">
        <f>(E43*(E45*E28-E14)*(1.024^(E18-20))/E46)</f>
        <v>0.5134335378744912</v>
      </c>
      <c r="F47" s="249"/>
      <c r="G47" s="475">
        <f>(G43*(G45*G28-G14)*(1.024^(G18-20))/G46)</f>
        <v>0.5134335378744912</v>
      </c>
      <c r="H47" s="413">
        <f t="shared" si="0"/>
        <v>0</v>
      </c>
      <c r="I47"/>
      <c r="J47"/>
    </row>
    <row r="48" spans="1:10" ht="15" customHeight="1" x14ac:dyDescent="0.25">
      <c r="A48" s="102"/>
      <c r="B48" s="593" t="s">
        <v>318</v>
      </c>
      <c r="C48" s="124" t="s">
        <v>326</v>
      </c>
      <c r="D48" s="119" t="s">
        <v>136</v>
      </c>
      <c r="E48" s="120">
        <f>E42*E47</f>
        <v>1.2707959580072126</v>
      </c>
      <c r="F48" s="397" t="s">
        <v>142</v>
      </c>
      <c r="G48" s="412">
        <f>G42*G47</f>
        <v>1.2707959580072126</v>
      </c>
      <c r="H48" s="413">
        <f t="shared" si="0"/>
        <v>0</v>
      </c>
      <c r="I48"/>
      <c r="J48"/>
    </row>
    <row r="49" spans="1:10" ht="15" customHeight="1" x14ac:dyDescent="0.25">
      <c r="A49" s="102"/>
      <c r="B49" s="578"/>
      <c r="C49" s="13" t="s">
        <v>178</v>
      </c>
      <c r="D49" s="22"/>
      <c r="E49" s="27">
        <f>E32</f>
        <v>3.2653061224489792</v>
      </c>
      <c r="F49" s="398" t="s">
        <v>11</v>
      </c>
      <c r="G49" s="476">
        <f>G32</f>
        <v>3.2653061224489792</v>
      </c>
      <c r="H49" s="413">
        <f t="shared" si="0"/>
        <v>0</v>
      </c>
      <c r="I49"/>
      <c r="J49"/>
    </row>
    <row r="50" spans="1:10" ht="15" customHeight="1" x14ac:dyDescent="0.25">
      <c r="A50" s="102"/>
      <c r="B50" s="581" t="s">
        <v>340</v>
      </c>
      <c r="C50" s="13" t="s">
        <v>341</v>
      </c>
      <c r="D50" s="22"/>
      <c r="E50" s="27">
        <f>'Tubería de Succión'!E3</f>
        <v>0.34943251522805463</v>
      </c>
      <c r="F50" s="398" t="s">
        <v>11</v>
      </c>
      <c r="G50" s="665">
        <f>'Tubería de Succión'!G3</f>
        <v>0.34943251522805463</v>
      </c>
      <c r="H50" s="413">
        <f t="shared" si="0"/>
        <v>0</v>
      </c>
      <c r="I50"/>
      <c r="J50"/>
    </row>
    <row r="51" spans="1:10" ht="15" customHeight="1" x14ac:dyDescent="0.25">
      <c r="A51" s="102"/>
      <c r="B51" s="581" t="s">
        <v>324</v>
      </c>
      <c r="C51" s="13" t="s">
        <v>224</v>
      </c>
      <c r="D51" s="8"/>
      <c r="E51" s="21">
        <f>'Tuberias de Aireación'!E2</f>
        <v>0.37506129115913822</v>
      </c>
      <c r="F51" s="338" t="s">
        <v>11</v>
      </c>
      <c r="G51" s="665">
        <f>'Tuberias de Aireación'!G2</f>
        <v>0.37506129115913822</v>
      </c>
      <c r="H51" s="413">
        <f t="shared" si="0"/>
        <v>0</v>
      </c>
      <c r="I51"/>
      <c r="J51"/>
    </row>
    <row r="52" spans="1:10" ht="15" customHeight="1" x14ac:dyDescent="0.25">
      <c r="A52" s="102"/>
      <c r="B52" s="581" t="s">
        <v>319</v>
      </c>
      <c r="C52" s="13" t="s">
        <v>35</v>
      </c>
      <c r="D52" s="22"/>
      <c r="E52" s="27">
        <v>0</v>
      </c>
      <c r="F52" s="398" t="s">
        <v>11</v>
      </c>
      <c r="G52" s="476">
        <v>0</v>
      </c>
      <c r="H52" s="413">
        <f t="shared" si="0"/>
        <v>0</v>
      </c>
      <c r="I52"/>
      <c r="J52"/>
    </row>
    <row r="53" spans="1:10" ht="15" customHeight="1" x14ac:dyDescent="0.25">
      <c r="A53" s="102"/>
      <c r="B53" s="582"/>
      <c r="C53" s="182" t="s">
        <v>60</v>
      </c>
      <c r="D53" s="183"/>
      <c r="E53" s="184">
        <f>SUM(E49:E52)</f>
        <v>3.9897999288361721</v>
      </c>
      <c r="F53" s="399" t="s">
        <v>11</v>
      </c>
      <c r="G53" s="477">
        <f>SUM(G49:G52)</f>
        <v>3.9897999288361721</v>
      </c>
      <c r="H53" s="413">
        <f t="shared" si="0"/>
        <v>0</v>
      </c>
      <c r="I53"/>
      <c r="J53"/>
    </row>
    <row r="54" spans="1:10" ht="15" customHeight="1" x14ac:dyDescent="0.25">
      <c r="A54" s="102"/>
      <c r="B54" s="581" t="s">
        <v>31</v>
      </c>
      <c r="C54" s="294" t="s">
        <v>30</v>
      </c>
      <c r="D54" s="295"/>
      <c r="E54" s="296">
        <v>0.72</v>
      </c>
      <c r="F54" s="400"/>
      <c r="G54" s="478">
        <v>0.72</v>
      </c>
      <c r="H54" s="413">
        <f t="shared" si="0"/>
        <v>0</v>
      </c>
      <c r="I54"/>
      <c r="J54"/>
    </row>
    <row r="55" spans="1:10" ht="15" customHeight="1" x14ac:dyDescent="0.25">
      <c r="A55" s="102"/>
      <c r="B55" s="582"/>
      <c r="C55" s="704" t="s">
        <v>61</v>
      </c>
      <c r="D55" s="174"/>
      <c r="E55" s="177">
        <f>9.81*0.001*E38*E53/E54</f>
        <v>0.49334719629919588</v>
      </c>
      <c r="F55" s="401" t="s">
        <v>13</v>
      </c>
      <c r="G55" s="437">
        <f>9.81*0.001*G38*G53/G54</f>
        <v>0.49334719629919588</v>
      </c>
      <c r="H55" s="413">
        <f t="shared" si="0"/>
        <v>0</v>
      </c>
      <c r="I55"/>
      <c r="J55"/>
    </row>
    <row r="56" spans="1:10" ht="15" customHeight="1" x14ac:dyDescent="0.25">
      <c r="A56" s="102"/>
      <c r="B56" s="582"/>
      <c r="C56" s="705"/>
      <c r="D56" s="175"/>
      <c r="E56" s="176">
        <f>E55/0.746</f>
        <v>0.66132331943591938</v>
      </c>
      <c r="F56" s="402" t="s">
        <v>32</v>
      </c>
      <c r="G56" s="462">
        <f>G55/0.746</f>
        <v>0.66132331943591938</v>
      </c>
      <c r="H56" s="413">
        <f t="shared" si="0"/>
        <v>0</v>
      </c>
      <c r="I56"/>
      <c r="J56"/>
    </row>
    <row r="57" spans="1:10" ht="15" customHeight="1" x14ac:dyDescent="0.25">
      <c r="A57" s="102"/>
      <c r="B57" s="582"/>
      <c r="C57" s="228" t="s">
        <v>321</v>
      </c>
      <c r="D57" s="229"/>
      <c r="E57" s="246">
        <f>E55*E35</f>
        <v>1.9733887851967835</v>
      </c>
      <c r="F57" s="395" t="s">
        <v>13</v>
      </c>
      <c r="G57" s="412">
        <f>G55*G35</f>
        <v>1.9733887851967835</v>
      </c>
      <c r="H57" s="413">
        <f t="shared" si="0"/>
        <v>0</v>
      </c>
      <c r="I57"/>
      <c r="J57"/>
    </row>
    <row r="58" spans="1:10" ht="15" customHeight="1" x14ac:dyDescent="0.25">
      <c r="A58" s="102"/>
      <c r="C58" s="364" t="s">
        <v>360</v>
      </c>
      <c r="E58" s="16"/>
      <c r="G58" s="113"/>
      <c r="H58" s="335"/>
    </row>
    <row r="59" spans="1:10" ht="15" customHeight="1" x14ac:dyDescent="0.25">
      <c r="A59" s="102"/>
      <c r="B59" s="581" t="s">
        <v>322</v>
      </c>
      <c r="C59" s="68" t="s">
        <v>206</v>
      </c>
      <c r="D59" s="69"/>
      <c r="E59" s="366">
        <f>'Planta Pincta'!E40</f>
        <v>2.5</v>
      </c>
      <c r="F59" s="384" t="s">
        <v>11</v>
      </c>
      <c r="G59" s="412">
        <f>'Planta Pincta'!G40</f>
        <v>2.5</v>
      </c>
      <c r="H59" s="413">
        <f>G59-E59</f>
        <v>0</v>
      </c>
    </row>
    <row r="60" spans="1:10" ht="15" customHeight="1" x14ac:dyDescent="0.25">
      <c r="A60" s="102"/>
      <c r="B60" s="583" t="s">
        <v>252</v>
      </c>
      <c r="C60" s="235" t="s">
        <v>137</v>
      </c>
      <c r="D60" s="236" t="s">
        <v>138</v>
      </c>
      <c r="E60" s="237">
        <v>0.6</v>
      </c>
      <c r="F60" s="392"/>
      <c r="G60" s="412">
        <v>0.6</v>
      </c>
      <c r="H60" s="413">
        <f t="shared" si="0"/>
        <v>0</v>
      </c>
    </row>
    <row r="61" spans="1:10" ht="15" customHeight="1" x14ac:dyDescent="0.25">
      <c r="A61" s="102"/>
      <c r="B61" s="594"/>
      <c r="C61" s="622" t="s">
        <v>143</v>
      </c>
      <c r="D61" s="623" t="s">
        <v>125</v>
      </c>
      <c r="E61" s="624">
        <f>E59-E26</f>
        <v>1.5</v>
      </c>
      <c r="F61" s="625" t="s">
        <v>11</v>
      </c>
      <c r="G61" s="437">
        <f>G59-G26</f>
        <v>1.5</v>
      </c>
      <c r="H61" s="413">
        <f t="shared" si="0"/>
        <v>0</v>
      </c>
    </row>
    <row r="62" spans="1:10" ht="15" customHeight="1" x14ac:dyDescent="0.25">
      <c r="A62" s="102"/>
      <c r="B62" s="595"/>
      <c r="C62" s="626"/>
      <c r="D62" s="627"/>
      <c r="E62" s="628">
        <f>E61*9.8</f>
        <v>14.700000000000001</v>
      </c>
      <c r="F62" s="629" t="s">
        <v>18</v>
      </c>
      <c r="G62" s="480">
        <f>G61*9.8</f>
        <v>14.700000000000001</v>
      </c>
      <c r="H62" s="413">
        <f t="shared" si="0"/>
        <v>0</v>
      </c>
    </row>
    <row r="63" spans="1:10" ht="15" customHeight="1" x14ac:dyDescent="0.35">
      <c r="A63" s="102"/>
      <c r="B63" s="581"/>
      <c r="C63" s="253" t="s">
        <v>123</v>
      </c>
      <c r="D63" s="254" t="s">
        <v>271</v>
      </c>
      <c r="E63" s="255">
        <f>E22</f>
        <v>8.24</v>
      </c>
      <c r="F63" s="306" t="s">
        <v>19</v>
      </c>
      <c r="G63" s="471">
        <f>G22</f>
        <v>8.24</v>
      </c>
      <c r="H63" s="413">
        <f t="shared" si="0"/>
        <v>0</v>
      </c>
    </row>
    <row r="64" spans="1:10" ht="15" customHeight="1" x14ac:dyDescent="0.25">
      <c r="A64" s="102"/>
      <c r="B64" s="581"/>
      <c r="C64" s="383" t="s">
        <v>118</v>
      </c>
      <c r="D64" s="8"/>
      <c r="E64" s="99">
        <f>-9.81*28.97*E17/(8314*(273.15+E18))</f>
        <v>-0.11464963296434179</v>
      </c>
      <c r="F64" s="8"/>
      <c r="G64" s="412">
        <f>-9.81*28.97*G17/(8314*(273.15+G18))</f>
        <v>-0.11464963296434179</v>
      </c>
      <c r="H64" s="413">
        <f t="shared" si="0"/>
        <v>0</v>
      </c>
    </row>
    <row r="65" spans="1:8" ht="15" customHeight="1" x14ac:dyDescent="0.35">
      <c r="A65" s="102"/>
      <c r="B65" s="581"/>
      <c r="C65" s="253" t="s">
        <v>124</v>
      </c>
      <c r="D65" s="254" t="s">
        <v>272</v>
      </c>
      <c r="E65" s="256">
        <f>E63*EXP(E64)</f>
        <v>7.3474308724449315</v>
      </c>
      <c r="F65" s="306" t="s">
        <v>19</v>
      </c>
      <c r="G65" s="472">
        <f>G63*EXP(G64)</f>
        <v>7.3474308724449315</v>
      </c>
      <c r="H65" s="413">
        <f t="shared" si="0"/>
        <v>0</v>
      </c>
    </row>
    <row r="66" spans="1:8" ht="15" customHeight="1" x14ac:dyDescent="0.25">
      <c r="A66" s="102"/>
      <c r="B66" s="575"/>
      <c r="C66" s="250" t="s">
        <v>141</v>
      </c>
      <c r="D66" s="251" t="s">
        <v>20</v>
      </c>
      <c r="E66" s="252">
        <f>(E60*(E45*E65-E14)*(1.024^(E18-20))/E46)</f>
        <v>0.29611112957376062</v>
      </c>
      <c r="F66" s="403"/>
      <c r="G66" s="481">
        <f>(G60*(G45*G65-G14)*(1.024^(G18-20))/G46)</f>
        <v>0.29611112957376062</v>
      </c>
      <c r="H66" s="413">
        <f t="shared" si="0"/>
        <v>0</v>
      </c>
    </row>
    <row r="67" spans="1:8" ht="15" customHeight="1" x14ac:dyDescent="0.25">
      <c r="A67" s="102"/>
      <c r="B67" s="596" t="s">
        <v>144</v>
      </c>
      <c r="C67" s="240" t="s">
        <v>366</v>
      </c>
      <c r="D67" s="241"/>
      <c r="E67" s="242">
        <f>0.02/0.305</f>
        <v>6.5573770491803282E-2</v>
      </c>
      <c r="F67" s="385" t="s">
        <v>269</v>
      </c>
      <c r="G67" s="482">
        <f>0.02/0.305</f>
        <v>6.5573770491803282E-2</v>
      </c>
      <c r="H67" s="413">
        <f t="shared" si="0"/>
        <v>0</v>
      </c>
    </row>
    <row r="68" spans="1:8" ht="15" customHeight="1" x14ac:dyDescent="0.25">
      <c r="A68" s="102"/>
      <c r="B68" s="596"/>
      <c r="C68" s="243" t="s">
        <v>367</v>
      </c>
      <c r="D68" s="8"/>
      <c r="E68" s="244">
        <f>E67*E61</f>
        <v>9.8360655737704916E-2</v>
      </c>
      <c r="F68" s="338"/>
      <c r="G68" s="482">
        <f>G67*G61</f>
        <v>9.8360655737704916E-2</v>
      </c>
      <c r="H68" s="413">
        <f t="shared" si="0"/>
        <v>0</v>
      </c>
    </row>
    <row r="69" spans="1:8" ht="15" customHeight="1" x14ac:dyDescent="0.25">
      <c r="A69" s="102"/>
      <c r="B69" s="596" t="s">
        <v>377</v>
      </c>
      <c r="C69" s="240" t="s">
        <v>308</v>
      </c>
      <c r="D69" s="241" t="s">
        <v>309</v>
      </c>
      <c r="E69" s="300">
        <v>0.6</v>
      </c>
      <c r="F69" s="385"/>
      <c r="G69" s="483">
        <v>0.6</v>
      </c>
      <c r="H69" s="413">
        <f t="shared" si="0"/>
        <v>0</v>
      </c>
    </row>
    <row r="70" spans="1:8" ht="15" customHeight="1" x14ac:dyDescent="0.25">
      <c r="A70" s="102"/>
      <c r="B70" s="351"/>
      <c r="C70" s="370" t="s">
        <v>365</v>
      </c>
      <c r="D70" s="376" t="s">
        <v>310</v>
      </c>
      <c r="E70" s="371">
        <f>E37*E69</f>
        <v>21.780922862234636</v>
      </c>
      <c r="F70" s="404" t="s">
        <v>8</v>
      </c>
      <c r="G70" s="412">
        <f>G37*G69</f>
        <v>21.780922862234636</v>
      </c>
      <c r="H70" s="413">
        <f t="shared" si="0"/>
        <v>0</v>
      </c>
    </row>
    <row r="71" spans="1:8" ht="15" customHeight="1" x14ac:dyDescent="0.25">
      <c r="A71" s="102"/>
      <c r="B71" s="351"/>
      <c r="C71" s="125" t="s">
        <v>145</v>
      </c>
      <c r="D71" s="377" t="s">
        <v>119</v>
      </c>
      <c r="E71" s="378">
        <f>E75*EXP(E64)</f>
        <v>90.353782803986036</v>
      </c>
      <c r="F71" s="405" t="s">
        <v>18</v>
      </c>
      <c r="G71" s="479">
        <f>G75*EXP(G64)</f>
        <v>90.353782803986036</v>
      </c>
      <c r="H71" s="413">
        <f t="shared" si="0"/>
        <v>0</v>
      </c>
    </row>
    <row r="72" spans="1:8" ht="15" customHeight="1" x14ac:dyDescent="0.25">
      <c r="A72" s="102"/>
      <c r="B72" s="581"/>
      <c r="C72" s="372"/>
      <c r="D72" s="373"/>
      <c r="E72" s="122">
        <f>E71/9.81</f>
        <v>9.2103754132503592</v>
      </c>
      <c r="F72" s="406" t="s">
        <v>146</v>
      </c>
      <c r="G72" s="462">
        <f>G71/9.81</f>
        <v>9.2103754132503592</v>
      </c>
      <c r="H72" s="413">
        <f t="shared" si="0"/>
        <v>0</v>
      </c>
    </row>
    <row r="73" spans="1:8" ht="15" customHeight="1" x14ac:dyDescent="0.25">
      <c r="A73" s="102"/>
      <c r="B73" s="581"/>
      <c r="C73" s="245" t="s">
        <v>446</v>
      </c>
      <c r="D73" s="630"/>
      <c r="E73" s="246">
        <f>E72+E61</f>
        <v>10.710375413250359</v>
      </c>
      <c r="F73" s="631" t="s">
        <v>146</v>
      </c>
      <c r="G73" s="412">
        <f>G72+G61</f>
        <v>10.710375413250359</v>
      </c>
      <c r="H73" s="413">
        <f>G73-E73</f>
        <v>0</v>
      </c>
    </row>
    <row r="74" spans="1:8" ht="15" customHeight="1" x14ac:dyDescent="0.25">
      <c r="A74" s="102"/>
      <c r="B74" s="581"/>
      <c r="C74" s="245" t="s">
        <v>447</v>
      </c>
      <c r="D74" s="630"/>
      <c r="E74" s="246">
        <f>E70*E73/E72</f>
        <v>25.328159845251612</v>
      </c>
      <c r="F74" s="631" t="s">
        <v>8</v>
      </c>
      <c r="G74" s="412">
        <f>G70*G73/G72</f>
        <v>25.328159845251612</v>
      </c>
      <c r="H74" s="413">
        <f t="shared" si="0"/>
        <v>0</v>
      </c>
    </row>
    <row r="75" spans="1:8" ht="15" customHeight="1" x14ac:dyDescent="0.25">
      <c r="A75" s="102"/>
      <c r="B75" s="581"/>
      <c r="C75" s="374" t="s">
        <v>116</v>
      </c>
      <c r="D75" s="375" t="s">
        <v>117</v>
      </c>
      <c r="E75" s="208">
        <v>101.33</v>
      </c>
      <c r="F75" s="407" t="s">
        <v>18</v>
      </c>
      <c r="G75" s="413">
        <v>101.33</v>
      </c>
      <c r="H75" s="413">
        <f t="shared" si="0"/>
        <v>0</v>
      </c>
    </row>
    <row r="76" spans="1:8" ht="15" customHeight="1" x14ac:dyDescent="0.25">
      <c r="A76" s="102"/>
      <c r="B76" s="581"/>
      <c r="C76" s="372"/>
      <c r="D76" s="373"/>
      <c r="E76" s="122">
        <f>E75/9.8</f>
        <v>10.339795918367345</v>
      </c>
      <c r="F76" s="406" t="s">
        <v>146</v>
      </c>
      <c r="G76" s="462">
        <f>G75/9.8</f>
        <v>10.339795918367345</v>
      </c>
      <c r="H76" s="413">
        <f t="shared" si="0"/>
        <v>0</v>
      </c>
    </row>
    <row r="77" spans="1:8" ht="15" customHeight="1" x14ac:dyDescent="0.25">
      <c r="A77" s="102"/>
      <c r="B77" s="581"/>
      <c r="C77" s="245" t="s">
        <v>302</v>
      </c>
      <c r="D77" s="229"/>
      <c r="E77" s="246">
        <f>E74*E72/E76</f>
        <v>22.561553684747746</v>
      </c>
      <c r="F77" s="631" t="s">
        <v>8</v>
      </c>
      <c r="G77" s="412">
        <f>G74*G72/G76</f>
        <v>22.561553684747746</v>
      </c>
      <c r="H77" s="413">
        <f t="shared" si="0"/>
        <v>0</v>
      </c>
    </row>
    <row r="78" spans="1:8" ht="15" customHeight="1" x14ac:dyDescent="0.25">
      <c r="A78" s="102"/>
      <c r="B78" s="581"/>
      <c r="C78" s="267" t="s">
        <v>147</v>
      </c>
      <c r="D78" s="241"/>
      <c r="E78" s="268">
        <v>1.204</v>
      </c>
      <c r="F78" s="408" t="s">
        <v>37</v>
      </c>
      <c r="G78" s="412">
        <v>1.204</v>
      </c>
      <c r="H78" s="413">
        <f t="shared" si="0"/>
        <v>0</v>
      </c>
    </row>
    <row r="79" spans="1:8" ht="15" customHeight="1" x14ac:dyDescent="0.25">
      <c r="A79" s="102"/>
      <c r="B79" s="581"/>
      <c r="C79" s="257" t="s">
        <v>351</v>
      </c>
      <c r="D79" s="241"/>
      <c r="E79" s="242">
        <v>0.20899999999999999</v>
      </c>
      <c r="F79" s="408"/>
      <c r="G79" s="482">
        <v>0.20899999999999999</v>
      </c>
      <c r="H79" s="413">
        <f t="shared" ref="H79:H99" si="1">G79-E79</f>
        <v>0</v>
      </c>
    </row>
    <row r="80" spans="1:8" ht="15" customHeight="1" x14ac:dyDescent="0.25">
      <c r="A80" s="102"/>
      <c r="B80" s="581"/>
      <c r="C80" s="123" t="s">
        <v>148</v>
      </c>
      <c r="D80" s="8"/>
      <c r="E80" s="99">
        <f>E78*E79</f>
        <v>0.25163599999999997</v>
      </c>
      <c r="F80" s="306" t="s">
        <v>37</v>
      </c>
      <c r="G80" s="412">
        <f>G78*G79</f>
        <v>0.25163599999999997</v>
      </c>
      <c r="H80" s="413">
        <f t="shared" si="1"/>
        <v>0</v>
      </c>
    </row>
    <row r="81" spans="1:8" ht="15" customHeight="1" x14ac:dyDescent="0.25">
      <c r="A81" s="102"/>
      <c r="B81" s="581"/>
      <c r="C81" s="123" t="s">
        <v>270</v>
      </c>
      <c r="D81" s="8"/>
      <c r="E81" s="99">
        <f>3.6*E77*E80</f>
        <v>20.438276842854659</v>
      </c>
      <c r="F81" s="306" t="s">
        <v>142</v>
      </c>
      <c r="G81" s="412">
        <f>3.6*G77*G80</f>
        <v>20.438276842854659</v>
      </c>
      <c r="H81" s="413">
        <f t="shared" si="1"/>
        <v>0</v>
      </c>
    </row>
    <row r="82" spans="1:8" ht="15" customHeight="1" x14ac:dyDescent="0.25">
      <c r="A82" s="102"/>
      <c r="B82" s="581"/>
      <c r="C82" s="123" t="s">
        <v>149</v>
      </c>
      <c r="D82" s="8" t="s">
        <v>136</v>
      </c>
      <c r="E82" s="104">
        <f>E68*E81</f>
        <v>2.0103223124119336</v>
      </c>
      <c r="F82" s="306" t="s">
        <v>142</v>
      </c>
      <c r="G82" s="412">
        <f>G68*G81</f>
        <v>2.0103223124119336</v>
      </c>
      <c r="H82" s="413">
        <f t="shared" si="1"/>
        <v>0</v>
      </c>
    </row>
    <row r="83" spans="1:8" ht="15" customHeight="1" x14ac:dyDescent="0.25">
      <c r="A83" s="102"/>
      <c r="B83" s="581"/>
      <c r="C83" s="245" t="s">
        <v>150</v>
      </c>
      <c r="D83" s="229" t="s">
        <v>136</v>
      </c>
      <c r="E83" s="246">
        <f>E82*E66</f>
        <v>0.59527881073563216</v>
      </c>
      <c r="F83" s="395" t="s">
        <v>142</v>
      </c>
      <c r="G83" s="412">
        <f>G82*G66</f>
        <v>0.59527881073563216</v>
      </c>
      <c r="H83" s="413">
        <f t="shared" si="1"/>
        <v>0</v>
      </c>
    </row>
    <row r="84" spans="1:8" ht="15" customHeight="1" x14ac:dyDescent="0.25">
      <c r="A84" s="102"/>
      <c r="B84" s="581"/>
      <c r="C84" s="245" t="s">
        <v>151</v>
      </c>
      <c r="D84" s="229" t="s">
        <v>136</v>
      </c>
      <c r="E84" s="246">
        <f>E48</f>
        <v>1.2707959580072126</v>
      </c>
      <c r="F84" s="395" t="s">
        <v>142</v>
      </c>
      <c r="G84" s="412">
        <f>G48</f>
        <v>1.2707959580072126</v>
      </c>
      <c r="H84" s="413">
        <f t="shared" si="1"/>
        <v>0</v>
      </c>
    </row>
    <row r="85" spans="1:8" ht="15" customHeight="1" x14ac:dyDescent="0.25">
      <c r="A85" s="102"/>
      <c r="B85" s="581"/>
      <c r="C85" s="124" t="s">
        <v>299</v>
      </c>
      <c r="D85" s="119" t="s">
        <v>136</v>
      </c>
      <c r="E85" s="120">
        <f>E83+E84</f>
        <v>1.8660747687428447</v>
      </c>
      <c r="F85" s="397" t="s">
        <v>142</v>
      </c>
      <c r="G85" s="412">
        <f>G83+G84</f>
        <v>1.8660747687428447</v>
      </c>
      <c r="H85" s="413">
        <f t="shared" si="1"/>
        <v>0</v>
      </c>
    </row>
    <row r="86" spans="1:8" ht="15" customHeight="1" x14ac:dyDescent="0.25">
      <c r="A86" s="102"/>
      <c r="B86" s="597"/>
      <c r="C86" s="228" t="s">
        <v>207</v>
      </c>
      <c r="D86" s="229" t="s">
        <v>136</v>
      </c>
      <c r="E86" s="230">
        <f>E85/E15</f>
        <v>3.3164346765753611E-2</v>
      </c>
      <c r="F86" s="395" t="s">
        <v>142</v>
      </c>
      <c r="G86" s="484">
        <f>G85/G15</f>
        <v>3.3164346765753611E-2</v>
      </c>
      <c r="H86" s="413">
        <f t="shared" si="1"/>
        <v>0</v>
      </c>
    </row>
    <row r="87" spans="1:8" ht="15" customHeight="1" x14ac:dyDescent="0.25">
      <c r="A87" s="102"/>
      <c r="B87" s="597"/>
      <c r="C87" s="103" t="s">
        <v>320</v>
      </c>
      <c r="G87" s="113"/>
      <c r="H87" s="335"/>
    </row>
    <row r="88" spans="1:8" ht="15" customHeight="1" x14ac:dyDescent="0.25">
      <c r="A88" s="102"/>
      <c r="B88" s="597" t="s">
        <v>442</v>
      </c>
      <c r="C88" s="610" t="s">
        <v>443</v>
      </c>
      <c r="D88" s="254"/>
      <c r="E88" s="255">
        <f>'Tubería de Soplador'!E2</f>
        <v>1.9042329106835818E-2</v>
      </c>
      <c r="F88" s="391" t="s">
        <v>11</v>
      </c>
      <c r="G88" s="471">
        <f>'Tubería de Soplador'!G2</f>
        <v>1.9042329106835818E-2</v>
      </c>
      <c r="H88" s="413">
        <f t="shared" ref="H88" si="2">G88-E88</f>
        <v>0</v>
      </c>
    </row>
    <row r="89" spans="1:8" ht="15" customHeight="1" x14ac:dyDescent="0.25">
      <c r="A89" s="102"/>
      <c r="B89" s="597"/>
      <c r="C89" s="125" t="s">
        <v>152</v>
      </c>
      <c r="D89" s="126"/>
      <c r="E89" s="121">
        <f>E88+E61</f>
        <v>1.5190423291068358</v>
      </c>
      <c r="F89" s="409" t="s">
        <v>11</v>
      </c>
      <c r="G89" s="437">
        <f>G88+G61</f>
        <v>1.5190423291068358</v>
      </c>
      <c r="H89" s="413">
        <f t="shared" si="1"/>
        <v>0</v>
      </c>
    </row>
    <row r="90" spans="1:8" ht="15" customHeight="1" x14ac:dyDescent="0.25">
      <c r="A90" s="102"/>
      <c r="B90" s="598"/>
      <c r="C90" s="127"/>
      <c r="D90" s="128"/>
      <c r="E90" s="122">
        <f>E89*9.8</f>
        <v>14.886614825246992</v>
      </c>
      <c r="F90" s="410" t="s">
        <v>18</v>
      </c>
      <c r="G90" s="462">
        <f>G89*9.8</f>
        <v>14.886614825246992</v>
      </c>
      <c r="H90" s="413">
        <f t="shared" si="1"/>
        <v>0</v>
      </c>
    </row>
    <row r="91" spans="1:8" ht="15" customHeight="1" x14ac:dyDescent="0.25">
      <c r="A91" s="102"/>
      <c r="B91" s="581"/>
      <c r="C91" s="641" t="s">
        <v>452</v>
      </c>
      <c r="D91" s="642" t="s">
        <v>153</v>
      </c>
      <c r="E91" s="246">
        <f>E78*(E72+E61)/E76</f>
        <v>1.2471515007996019</v>
      </c>
      <c r="F91" s="643" t="s">
        <v>22</v>
      </c>
      <c r="G91" s="412">
        <f>G78*(G72+G61)/G76</f>
        <v>1.2471515007996019</v>
      </c>
      <c r="H91" s="413">
        <f t="shared" si="1"/>
        <v>0</v>
      </c>
    </row>
    <row r="92" spans="1:8" ht="15" customHeight="1" x14ac:dyDescent="0.25">
      <c r="A92" s="102"/>
      <c r="B92" s="581" t="s">
        <v>291</v>
      </c>
      <c r="C92" s="298" t="s">
        <v>154</v>
      </c>
      <c r="D92" s="299"/>
      <c r="E92" s="300">
        <v>0.76</v>
      </c>
      <c r="F92" s="411"/>
      <c r="G92" s="483">
        <v>0.76</v>
      </c>
      <c r="H92" s="413">
        <f t="shared" si="1"/>
        <v>0</v>
      </c>
    </row>
    <row r="93" spans="1:8" ht="15" customHeight="1" x14ac:dyDescent="0.25">
      <c r="A93" s="102"/>
      <c r="B93" s="583" t="s">
        <v>474</v>
      </c>
      <c r="C93" s="82" t="s">
        <v>313</v>
      </c>
      <c r="D93" s="95"/>
      <c r="E93" s="97">
        <f>(0.001*E74*E91)*8.314*(273.15+E18)*(((E71+E90)/E71)^0.283-1)/(29.7*0.283*E92)</f>
        <v>0.54064784520147746</v>
      </c>
      <c r="F93" s="95" t="s">
        <v>13</v>
      </c>
      <c r="G93" s="412">
        <f>(0.001*G74*G91)*8.314*(273.15+G18)*(((G71+G90)/G71)^0.283-1)/(29.7*0.283*G92)</f>
        <v>0.54064784520147746</v>
      </c>
      <c r="H93" s="413">
        <f t="shared" si="1"/>
        <v>0</v>
      </c>
    </row>
    <row r="94" spans="1:8" ht="15" customHeight="1" x14ac:dyDescent="0.25">
      <c r="A94" s="102"/>
      <c r="B94" s="597"/>
      <c r="C94" s="158" t="s">
        <v>357</v>
      </c>
      <c r="D94" s="306"/>
      <c r="E94" s="99">
        <f>E92*E93</f>
        <v>0.41089236235312288</v>
      </c>
      <c r="F94" s="306" t="s">
        <v>355</v>
      </c>
      <c r="G94" s="412">
        <f>G92*G93</f>
        <v>0.41089236235312288</v>
      </c>
      <c r="H94" s="413">
        <f t="shared" si="1"/>
        <v>0</v>
      </c>
    </row>
    <row r="95" spans="1:8" ht="15" customHeight="1" x14ac:dyDescent="0.25">
      <c r="A95" s="102"/>
      <c r="B95" s="597"/>
      <c r="C95" s="158" t="s">
        <v>356</v>
      </c>
      <c r="D95" s="306"/>
      <c r="E95" s="99">
        <f>E16*E39</f>
        <v>1.1573064411428571</v>
      </c>
      <c r="F95" s="306" t="s">
        <v>354</v>
      </c>
      <c r="G95" s="412">
        <f>G16*G39</f>
        <v>1.1573064411428571</v>
      </c>
      <c r="H95" s="413">
        <f t="shared" si="1"/>
        <v>0</v>
      </c>
    </row>
    <row r="96" spans="1:8" ht="15" customHeight="1" x14ac:dyDescent="0.25">
      <c r="A96" s="102"/>
      <c r="B96" s="597"/>
      <c r="C96" s="358" t="s">
        <v>368</v>
      </c>
      <c r="D96" s="359"/>
      <c r="E96" s="360">
        <f>E95+E94</f>
        <v>1.56819880349598</v>
      </c>
      <c r="F96" s="359" t="s">
        <v>13</v>
      </c>
      <c r="G96" s="412">
        <f>G95+G94</f>
        <v>1.56819880349598</v>
      </c>
      <c r="H96" s="413">
        <f t="shared" si="1"/>
        <v>0</v>
      </c>
    </row>
    <row r="97" spans="1:8" ht="15" customHeight="1" x14ac:dyDescent="0.25">
      <c r="A97" s="102"/>
      <c r="B97" s="581"/>
      <c r="C97" s="326" t="s">
        <v>352</v>
      </c>
      <c r="D97" s="327" t="s">
        <v>136</v>
      </c>
      <c r="E97" s="99">
        <f>E42</f>
        <v>2.4750933943038573</v>
      </c>
      <c r="F97" s="306" t="s">
        <v>26</v>
      </c>
      <c r="G97" s="412">
        <f>G42</f>
        <v>2.4750933943038573</v>
      </c>
      <c r="H97" s="413">
        <f t="shared" si="1"/>
        <v>0</v>
      </c>
    </row>
    <row r="98" spans="1:8" ht="15" customHeight="1" x14ac:dyDescent="0.25">
      <c r="A98" s="102"/>
      <c r="B98" s="581"/>
      <c r="C98" s="326" t="s">
        <v>353</v>
      </c>
      <c r="D98" s="327" t="s">
        <v>136</v>
      </c>
      <c r="E98" s="99">
        <f>E82</f>
        <v>2.0103223124119336</v>
      </c>
      <c r="F98" s="306" t="s">
        <v>26</v>
      </c>
      <c r="G98" s="412">
        <f>G82</f>
        <v>2.0103223124119336</v>
      </c>
      <c r="H98" s="413">
        <f t="shared" si="1"/>
        <v>0</v>
      </c>
    </row>
    <row r="99" spans="1:8" x14ac:dyDescent="0.25">
      <c r="A99" s="102"/>
      <c r="B99" s="575"/>
      <c r="C99" s="157" t="s">
        <v>301</v>
      </c>
      <c r="D99" s="115" t="s">
        <v>135</v>
      </c>
      <c r="E99" s="116">
        <f>(E97+E98)/E96</f>
        <v>2.8602341085304173</v>
      </c>
      <c r="F99" s="394" t="s">
        <v>50</v>
      </c>
      <c r="G99" s="412">
        <f>(G97+G98)/G96</f>
        <v>2.8602341085304173</v>
      </c>
      <c r="H99" s="413">
        <f t="shared" si="1"/>
        <v>0</v>
      </c>
    </row>
    <row r="100" spans="1:8" x14ac:dyDescent="0.25">
      <c r="B100" s="131"/>
      <c r="C100" s="361"/>
      <c r="D100" s="362"/>
      <c r="E100" s="363"/>
      <c r="F100" s="5"/>
    </row>
    <row r="101" spans="1:8" x14ac:dyDescent="0.25">
      <c r="B101" s="131"/>
      <c r="C101" s="103" t="s">
        <v>180</v>
      </c>
      <c r="D101" s="93"/>
      <c r="E101" s="5"/>
      <c r="F101" s="143"/>
    </row>
    <row r="102" spans="1:8" x14ac:dyDescent="0.25">
      <c r="C102" s="257" t="s">
        <v>304</v>
      </c>
      <c r="D102" s="258"/>
      <c r="E102" s="259">
        <f>25.4/2</f>
        <v>12.7</v>
      </c>
      <c r="F102" s="260" t="s">
        <v>6</v>
      </c>
    </row>
    <row r="103" spans="1:8" x14ac:dyDescent="0.25">
      <c r="C103" s="108" t="s">
        <v>257</v>
      </c>
      <c r="D103" s="223"/>
      <c r="E103" s="225">
        <f>E102^2</f>
        <v>161.29</v>
      </c>
      <c r="F103" s="109" t="s">
        <v>7</v>
      </c>
    </row>
    <row r="104" spans="1:8" x14ac:dyDescent="0.25">
      <c r="C104" s="261" t="s">
        <v>258</v>
      </c>
      <c r="D104" s="262" t="s">
        <v>305</v>
      </c>
      <c r="E104" s="259">
        <f>25.4/4</f>
        <v>6.35</v>
      </c>
      <c r="F104" s="263" t="s">
        <v>6</v>
      </c>
    </row>
    <row r="105" spans="1:8" x14ac:dyDescent="0.25">
      <c r="C105" s="108" t="s">
        <v>181</v>
      </c>
      <c r="D105" s="145">
        <f>E105/E103</f>
        <v>0.5</v>
      </c>
      <c r="E105" s="224">
        <f>E104*E102</f>
        <v>80.644999999999996</v>
      </c>
      <c r="F105" s="109" t="s">
        <v>7</v>
      </c>
    </row>
    <row r="106" spans="1:8" x14ac:dyDescent="0.25">
      <c r="C106" s="108" t="s">
        <v>259</v>
      </c>
      <c r="D106" s="145">
        <f>E106/E103</f>
        <v>0.5</v>
      </c>
      <c r="E106" s="205">
        <f>E103-E105</f>
        <v>80.644999999999996</v>
      </c>
      <c r="F106" s="109" t="s">
        <v>7</v>
      </c>
    </row>
    <row r="107" spans="1:8" x14ac:dyDescent="0.25">
      <c r="C107" s="108" t="s">
        <v>303</v>
      </c>
      <c r="D107" s="110" t="s">
        <v>306</v>
      </c>
      <c r="E107" s="224">
        <f>25.4/8</f>
        <v>3.1749999999999998</v>
      </c>
      <c r="F107" s="109" t="s">
        <v>6</v>
      </c>
    </row>
    <row r="108" spans="1:8" x14ac:dyDescent="0.25">
      <c r="C108" s="108" t="s">
        <v>182</v>
      </c>
      <c r="D108" s="110" t="s">
        <v>260</v>
      </c>
      <c r="E108" s="224">
        <f>25.4/2</f>
        <v>12.7</v>
      </c>
      <c r="F108" s="109" t="s">
        <v>6</v>
      </c>
    </row>
    <row r="109" spans="1:8" x14ac:dyDescent="0.25">
      <c r="C109" s="264" t="s">
        <v>183</v>
      </c>
      <c r="D109" s="66"/>
      <c r="E109" s="265">
        <v>2</v>
      </c>
      <c r="F109" s="266" t="s">
        <v>6</v>
      </c>
    </row>
    <row r="110" spans="1:8" x14ac:dyDescent="0.25">
      <c r="C110" s="146" t="s">
        <v>184</v>
      </c>
      <c r="D110" s="147"/>
      <c r="E110" s="226">
        <f>E109*E108</f>
        <v>25.4</v>
      </c>
      <c r="F110" s="144" t="s">
        <v>7</v>
      </c>
    </row>
    <row r="111" spans="1:8" x14ac:dyDescent="0.25">
      <c r="C111" s="148" t="s">
        <v>185</v>
      </c>
      <c r="D111" s="149" t="s">
        <v>186</v>
      </c>
      <c r="E111" s="227">
        <v>7.76</v>
      </c>
      <c r="F111" s="150" t="s">
        <v>6</v>
      </c>
    </row>
    <row r="112" spans="1:8" x14ac:dyDescent="0.25">
      <c r="C112" s="108" t="s">
        <v>187</v>
      </c>
      <c r="D112" s="151"/>
      <c r="E112" s="224">
        <f>2*0.25*3.14*E111^2</f>
        <v>94.541631999999993</v>
      </c>
      <c r="F112" s="152" t="s">
        <v>7</v>
      </c>
    </row>
  </sheetData>
  <mergeCells count="2">
    <mergeCell ref="C12:F12"/>
    <mergeCell ref="C55:C5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D3F5-9C96-4F03-BD8D-99D63B65E9C5}">
  <dimension ref="A1:L156"/>
  <sheetViews>
    <sheetView showGridLines="0" tabSelected="1" topLeftCell="C12" zoomScale="75" zoomScaleNormal="75" workbookViewId="0">
      <selection activeCell="K87" sqref="K87"/>
    </sheetView>
  </sheetViews>
  <sheetFormatPr baseColWidth="10" defaultRowHeight="14.25" x14ac:dyDescent="0.2"/>
  <cols>
    <col min="1" max="1" width="27.28515625" style="43" customWidth="1"/>
    <col min="2" max="2" width="54.85546875" style="43" customWidth="1"/>
    <col min="3" max="3" width="56" style="43" customWidth="1"/>
    <col min="4" max="4" width="28.85546875" style="50" customWidth="1"/>
    <col min="5" max="5" width="10.85546875" style="43" customWidth="1"/>
    <col min="6" max="6" width="13.5703125" style="43" customWidth="1"/>
    <col min="7" max="7" width="13.28515625" style="50" customWidth="1"/>
    <col min="8" max="8" width="16.85546875" style="43" customWidth="1"/>
    <col min="9" max="9" width="25.28515625" style="43" customWidth="1"/>
    <col min="10" max="10" width="7.140625" style="43" customWidth="1"/>
    <col min="11" max="11" width="14" style="43" customWidth="1"/>
    <col min="12" max="12" width="18.28515625" style="43" customWidth="1"/>
    <col min="13" max="13" width="15.5703125" style="43" customWidth="1"/>
    <col min="14" max="16384" width="11.42578125" style="43"/>
  </cols>
  <sheetData>
    <row r="1" spans="1:8" ht="15.75" x14ac:dyDescent="0.25">
      <c r="B1" s="3"/>
      <c r="C1" s="304" t="s">
        <v>42</v>
      </c>
      <c r="D1" s="1"/>
      <c r="E1" s="2"/>
    </row>
    <row r="2" spans="1:8" x14ac:dyDescent="0.2">
      <c r="B2" s="3"/>
      <c r="C2" s="550" t="s">
        <v>388</v>
      </c>
      <c r="D2" s="2"/>
      <c r="E2" s="1"/>
    </row>
    <row r="3" spans="1:8" x14ac:dyDescent="0.2">
      <c r="B3" s="16"/>
      <c r="C3" s="551" t="s">
        <v>0</v>
      </c>
      <c r="D3" s="5"/>
      <c r="E3" s="1"/>
    </row>
    <row r="4" spans="1:8" x14ac:dyDescent="0.2">
      <c r="B4" s="16"/>
      <c r="C4" s="552" t="s">
        <v>106</v>
      </c>
      <c r="D4" s="5"/>
      <c r="E4" s="1"/>
      <c r="F4" s="44"/>
      <c r="G4" s="54"/>
      <c r="H4" s="44"/>
    </row>
    <row r="5" spans="1:8" x14ac:dyDescent="0.2">
      <c r="B5" s="16"/>
      <c r="C5" s="553" t="s">
        <v>292</v>
      </c>
      <c r="D5" s="1"/>
      <c r="E5" s="1"/>
      <c r="F5" s="44"/>
      <c r="G5" s="54"/>
      <c r="H5" s="44"/>
    </row>
    <row r="6" spans="1:8" x14ac:dyDescent="0.2">
      <c r="B6" s="16"/>
      <c r="C6" s="554" t="s">
        <v>389</v>
      </c>
      <c r="D6" s="96"/>
      <c r="E6" s="1"/>
      <c r="F6" s="44"/>
      <c r="G6" s="54"/>
      <c r="H6" s="44"/>
    </row>
    <row r="7" spans="1:8" x14ac:dyDescent="0.2">
      <c r="B7" s="16"/>
      <c r="C7" s="555" t="s">
        <v>293</v>
      </c>
      <c r="D7" s="44"/>
      <c r="E7" s="1"/>
      <c r="F7" s="44"/>
      <c r="G7" s="54"/>
      <c r="H7" s="44"/>
    </row>
    <row r="8" spans="1:8" x14ac:dyDescent="0.2">
      <c r="B8" s="16"/>
      <c r="C8" s="556" t="s">
        <v>1</v>
      </c>
      <c r="D8" s="5"/>
      <c r="E8" s="1"/>
      <c r="F8" s="44"/>
      <c r="G8" s="54"/>
      <c r="H8" s="44"/>
    </row>
    <row r="9" spans="1:8" x14ac:dyDescent="0.2">
      <c r="B9" s="45"/>
      <c r="C9" s="557" t="s">
        <v>93</v>
      </c>
      <c r="D9" s="5"/>
      <c r="E9" s="5"/>
      <c r="F9" s="44"/>
      <c r="G9" s="54"/>
      <c r="H9" s="44"/>
    </row>
    <row r="10" spans="1:8" x14ac:dyDescent="0.2">
      <c r="B10" s="45"/>
      <c r="C10" s="558" t="s">
        <v>294</v>
      </c>
      <c r="D10" s="527"/>
      <c r="E10" s="527"/>
      <c r="F10" s="549"/>
      <c r="G10" s="54"/>
      <c r="H10" s="44"/>
    </row>
    <row r="11" spans="1:8" ht="31.5" x14ac:dyDescent="0.25">
      <c r="A11" s="414" t="s">
        <v>425</v>
      </c>
      <c r="B11" s="574" t="s">
        <v>113</v>
      </c>
      <c r="C11" s="288"/>
      <c r="D11" s="89"/>
      <c r="E11" s="89"/>
      <c r="F11" s="92"/>
      <c r="G11" s="414" t="s">
        <v>390</v>
      </c>
      <c r="H11" s="415" t="s">
        <v>391</v>
      </c>
    </row>
    <row r="12" spans="1:8" ht="21.75" customHeight="1" x14ac:dyDescent="0.25">
      <c r="A12" s="591"/>
      <c r="B12" s="588"/>
      <c r="C12" s="709" t="s">
        <v>323</v>
      </c>
      <c r="D12" s="709"/>
      <c r="E12" s="709"/>
      <c r="F12" s="709"/>
      <c r="G12" s="465"/>
      <c r="H12" s="466"/>
    </row>
    <row r="13" spans="1:8" ht="15.75" x14ac:dyDescent="0.2">
      <c r="A13" s="590"/>
      <c r="B13" s="587"/>
      <c r="C13" s="60" t="s">
        <v>87</v>
      </c>
      <c r="D13" s="61"/>
      <c r="E13" s="62"/>
      <c r="F13" s="62"/>
      <c r="G13" s="467"/>
      <c r="H13" s="468"/>
    </row>
    <row r="14" spans="1:8" x14ac:dyDescent="0.2">
      <c r="A14" s="316"/>
      <c r="B14" s="575" t="s">
        <v>295</v>
      </c>
      <c r="C14" s="500" t="s">
        <v>44</v>
      </c>
      <c r="D14" s="63"/>
      <c r="E14" s="331">
        <v>7</v>
      </c>
      <c r="F14" s="24" t="s">
        <v>8</v>
      </c>
      <c r="G14" s="219">
        <v>7</v>
      </c>
      <c r="H14" s="413">
        <f t="shared" ref="H14:H78" si="0">G14-E14</f>
        <v>0</v>
      </c>
    </row>
    <row r="15" spans="1:8" x14ac:dyDescent="0.2">
      <c r="A15" s="316"/>
      <c r="B15" s="576" t="s">
        <v>376</v>
      </c>
      <c r="C15" s="500" t="s">
        <v>40</v>
      </c>
      <c r="D15" s="63"/>
      <c r="E15" s="331">
        <v>220</v>
      </c>
      <c r="F15" s="24" t="s">
        <v>39</v>
      </c>
      <c r="G15" s="219">
        <v>220</v>
      </c>
      <c r="H15" s="413">
        <f t="shared" si="0"/>
        <v>0</v>
      </c>
    </row>
    <row r="16" spans="1:8" x14ac:dyDescent="0.2">
      <c r="A16" s="316"/>
      <c r="B16" s="576" t="s">
        <v>376</v>
      </c>
      <c r="C16" s="500" t="s">
        <v>46</v>
      </c>
      <c r="D16" s="63"/>
      <c r="E16" s="331">
        <v>40</v>
      </c>
      <c r="F16" s="24" t="s">
        <v>29</v>
      </c>
      <c r="G16" s="219">
        <v>40</v>
      </c>
      <c r="H16" s="413">
        <f t="shared" si="0"/>
        <v>0</v>
      </c>
    </row>
    <row r="17" spans="1:12" x14ac:dyDescent="0.2">
      <c r="A17" s="316"/>
      <c r="B17" s="577"/>
      <c r="C17" s="501" t="s">
        <v>251</v>
      </c>
      <c r="D17" s="64"/>
      <c r="E17" s="42">
        <f>E15/E16</f>
        <v>5.5</v>
      </c>
      <c r="F17" s="65"/>
      <c r="G17" s="198">
        <f>G15/G16</f>
        <v>5.5</v>
      </c>
      <c r="H17" s="413">
        <f t="shared" si="0"/>
        <v>0</v>
      </c>
    </row>
    <row r="18" spans="1:12" x14ac:dyDescent="0.2">
      <c r="A18" s="316"/>
      <c r="B18" s="576" t="s">
        <v>328</v>
      </c>
      <c r="C18" s="502" t="s">
        <v>47</v>
      </c>
      <c r="D18" s="210" t="s">
        <v>45</v>
      </c>
      <c r="E18" s="213">
        <v>8</v>
      </c>
      <c r="F18" s="212" t="s">
        <v>48</v>
      </c>
      <c r="G18" s="485">
        <v>8</v>
      </c>
      <c r="H18" s="413">
        <f t="shared" si="0"/>
        <v>0</v>
      </c>
    </row>
    <row r="19" spans="1:12" x14ac:dyDescent="0.2">
      <c r="A19" s="316"/>
      <c r="B19" s="578"/>
      <c r="C19" s="503" t="s">
        <v>49</v>
      </c>
      <c r="D19" s="66" t="str">
        <f>IF(E19&lt;5,"Se requiere proceso EBPR","No se requiere proceso EBPR")</f>
        <v>No se requiere proceso EBPR</v>
      </c>
      <c r="E19" s="42">
        <f>E16/E18</f>
        <v>5</v>
      </c>
      <c r="F19" s="67"/>
      <c r="G19" s="198">
        <f>G16/G18</f>
        <v>5</v>
      </c>
      <c r="H19" s="413">
        <f t="shared" si="0"/>
        <v>0</v>
      </c>
    </row>
    <row r="20" spans="1:12" x14ac:dyDescent="0.2">
      <c r="A20" s="316"/>
      <c r="B20" s="579" t="s">
        <v>290</v>
      </c>
      <c r="C20" s="504" t="s">
        <v>88</v>
      </c>
      <c r="D20" s="77" t="str">
        <f>IF(E20&lt;20,"insuficiente","suficiente")</f>
        <v>suficiente</v>
      </c>
      <c r="E20" s="332">
        <f>E15/E18</f>
        <v>27.5</v>
      </c>
      <c r="F20" s="173"/>
      <c r="G20" s="486">
        <f>G15/G18</f>
        <v>27.5</v>
      </c>
      <c r="H20" s="413">
        <f t="shared" si="0"/>
        <v>0</v>
      </c>
    </row>
    <row r="21" spans="1:12" x14ac:dyDescent="0.2">
      <c r="A21" s="316"/>
      <c r="B21" s="580"/>
      <c r="C21" s="505" t="s">
        <v>54</v>
      </c>
      <c r="D21" s="283"/>
      <c r="E21" s="284">
        <v>0.98</v>
      </c>
      <c r="F21" s="285"/>
      <c r="G21" s="487">
        <v>0.98</v>
      </c>
      <c r="H21" s="413">
        <f t="shared" si="0"/>
        <v>0</v>
      </c>
    </row>
    <row r="22" spans="1:12" x14ac:dyDescent="0.2">
      <c r="A22" s="316"/>
      <c r="B22" s="580"/>
      <c r="C22" s="501" t="s">
        <v>89</v>
      </c>
      <c r="D22" s="77"/>
      <c r="E22" s="42">
        <f>E16*E21</f>
        <v>39.200000000000003</v>
      </c>
      <c r="F22" s="65" t="s">
        <v>29</v>
      </c>
      <c r="G22" s="198">
        <f>G16*G21</f>
        <v>39.200000000000003</v>
      </c>
      <c r="H22" s="413">
        <f t="shared" si="0"/>
        <v>0</v>
      </c>
    </row>
    <row r="23" spans="1:12" x14ac:dyDescent="0.2">
      <c r="A23" s="316"/>
      <c r="B23" s="580"/>
      <c r="C23" s="506" t="s">
        <v>28</v>
      </c>
      <c r="D23" s="75"/>
      <c r="E23" s="71">
        <f>E16-E22</f>
        <v>0.79999999999999716</v>
      </c>
      <c r="F23" s="70" t="s">
        <v>55</v>
      </c>
      <c r="G23" s="198">
        <f>G16-G22</f>
        <v>0.79999999999999716</v>
      </c>
      <c r="H23" s="413">
        <f t="shared" si="0"/>
        <v>0</v>
      </c>
    </row>
    <row r="24" spans="1:12" x14ac:dyDescent="0.2">
      <c r="A24" s="316"/>
      <c r="B24" s="580"/>
      <c r="C24" s="306" t="s">
        <v>179</v>
      </c>
      <c r="D24" s="22"/>
      <c r="E24" s="198">
        <f>'Parrilla de Aireación '!E37</f>
        <v>36.301538103724397</v>
      </c>
      <c r="F24" s="111" t="s">
        <v>8</v>
      </c>
      <c r="G24" s="198">
        <f>'Parrilla de Aireación '!G37</f>
        <v>36.301538103724397</v>
      </c>
      <c r="H24" s="413">
        <f t="shared" si="0"/>
        <v>0</v>
      </c>
    </row>
    <row r="25" spans="1:12" ht="15" x14ac:dyDescent="0.25">
      <c r="A25" s="316"/>
      <c r="B25" s="580"/>
      <c r="C25" s="28" t="s">
        <v>265</v>
      </c>
      <c r="D25" s="35"/>
      <c r="E25" s="41"/>
      <c r="F25" s="36"/>
      <c r="G25" s="113"/>
      <c r="H25" s="335"/>
      <c r="K25" s="48"/>
      <c r="L25" s="49"/>
    </row>
    <row r="26" spans="1:12" x14ac:dyDescent="0.2">
      <c r="A26" s="316"/>
      <c r="B26" s="575" t="s">
        <v>295</v>
      </c>
      <c r="C26" s="507" t="s">
        <v>155</v>
      </c>
      <c r="D26" s="53"/>
      <c r="E26" s="195">
        <v>4</v>
      </c>
      <c r="F26" s="11" t="s">
        <v>5</v>
      </c>
      <c r="G26" s="289">
        <v>4</v>
      </c>
      <c r="H26" s="413">
        <f t="shared" si="0"/>
        <v>0</v>
      </c>
      <c r="K26" s="48"/>
      <c r="L26" s="49"/>
    </row>
    <row r="27" spans="1:12" x14ac:dyDescent="0.2">
      <c r="A27" s="316"/>
      <c r="B27" s="575"/>
      <c r="C27" s="306" t="s">
        <v>329</v>
      </c>
      <c r="D27" s="142"/>
      <c r="E27" s="219">
        <f>E87</f>
        <v>14.066874148941503</v>
      </c>
      <c r="F27" s="15" t="s">
        <v>5</v>
      </c>
      <c r="G27" s="219">
        <f>G87</f>
        <v>14.066874148941503</v>
      </c>
      <c r="H27" s="413">
        <f t="shared" si="0"/>
        <v>0</v>
      </c>
      <c r="K27" s="48"/>
      <c r="L27" s="49"/>
    </row>
    <row r="28" spans="1:12" x14ac:dyDescent="0.2">
      <c r="A28" s="316"/>
      <c r="B28" s="575"/>
      <c r="C28" s="306" t="s">
        <v>419</v>
      </c>
      <c r="D28" s="159"/>
      <c r="E28" s="569">
        <f>E26*E27</f>
        <v>56.267496595766012</v>
      </c>
      <c r="F28" s="111" t="s">
        <v>5</v>
      </c>
      <c r="G28" s="569">
        <f>G26*G27</f>
        <v>56.267496595766012</v>
      </c>
      <c r="H28" s="413">
        <f t="shared" si="0"/>
        <v>0</v>
      </c>
      <c r="K28" s="48"/>
      <c r="L28" s="49"/>
    </row>
    <row r="29" spans="1:12" x14ac:dyDescent="0.2">
      <c r="A29" s="316"/>
      <c r="B29" s="575"/>
      <c r="C29" s="515" t="s">
        <v>420</v>
      </c>
      <c r="D29" s="568"/>
      <c r="E29" s="572">
        <v>56</v>
      </c>
      <c r="F29" s="311" t="s">
        <v>5</v>
      </c>
      <c r="G29" s="219">
        <v>56.267496595766012</v>
      </c>
      <c r="H29" s="413">
        <v>0</v>
      </c>
      <c r="K29" s="48"/>
      <c r="L29" s="49"/>
    </row>
    <row r="30" spans="1:12" x14ac:dyDescent="0.2">
      <c r="A30" s="316"/>
      <c r="B30" s="575" t="s">
        <v>295</v>
      </c>
      <c r="C30" s="186" t="s">
        <v>114</v>
      </c>
      <c r="D30" s="186"/>
      <c r="E30" s="307">
        <v>3</v>
      </c>
      <c r="F30" s="187" t="s">
        <v>11</v>
      </c>
      <c r="G30" s="198">
        <v>3</v>
      </c>
      <c r="H30" s="413">
        <f t="shared" si="0"/>
        <v>0</v>
      </c>
      <c r="K30" s="48"/>
      <c r="L30" s="49"/>
    </row>
    <row r="31" spans="1:12" x14ac:dyDescent="0.2">
      <c r="A31" s="316"/>
      <c r="B31" s="581" t="s">
        <v>401</v>
      </c>
      <c r="C31" s="306" t="s">
        <v>421</v>
      </c>
      <c r="D31" s="306"/>
      <c r="E31" s="198">
        <f>'Tuberias de Aireación'!E20</f>
        <v>39.400622446824514</v>
      </c>
      <c r="F31" s="15" t="s">
        <v>11</v>
      </c>
      <c r="G31" s="198">
        <f>'Tuberias de Aireación'!G20</f>
        <v>39.400622446824514</v>
      </c>
      <c r="H31" s="413">
        <f t="shared" si="0"/>
        <v>0</v>
      </c>
      <c r="K31" s="48"/>
      <c r="L31" s="49"/>
    </row>
    <row r="32" spans="1:12" x14ac:dyDescent="0.2">
      <c r="A32" s="316"/>
      <c r="B32" s="581" t="s">
        <v>319</v>
      </c>
      <c r="C32" s="507" t="s">
        <v>279</v>
      </c>
      <c r="D32" s="53"/>
      <c r="E32" s="72">
        <v>3</v>
      </c>
      <c r="F32" s="11" t="s">
        <v>11</v>
      </c>
      <c r="G32" s="224">
        <v>3</v>
      </c>
      <c r="H32" s="413">
        <f t="shared" si="0"/>
        <v>0</v>
      </c>
      <c r="K32" s="48"/>
      <c r="L32" s="49"/>
    </row>
    <row r="33" spans="1:12" x14ac:dyDescent="0.2">
      <c r="A33" s="316"/>
      <c r="B33" s="581" t="s">
        <v>319</v>
      </c>
      <c r="C33" s="507" t="s">
        <v>278</v>
      </c>
      <c r="D33" s="53"/>
      <c r="E33" s="72">
        <v>0.6</v>
      </c>
      <c r="F33" s="11" t="s">
        <v>11</v>
      </c>
      <c r="G33" s="224">
        <v>0.6</v>
      </c>
      <c r="H33" s="413">
        <f t="shared" si="0"/>
        <v>0</v>
      </c>
      <c r="K33" s="48"/>
      <c r="L33" s="49"/>
    </row>
    <row r="34" spans="1:12" x14ac:dyDescent="0.2">
      <c r="A34" s="316"/>
      <c r="B34" s="580"/>
      <c r="C34" s="399" t="s">
        <v>77</v>
      </c>
      <c r="D34" s="183"/>
      <c r="E34" s="184">
        <f>E31+E32+E33</f>
        <v>43.000622446824515</v>
      </c>
      <c r="F34" s="185" t="s">
        <v>11</v>
      </c>
      <c r="G34" s="224">
        <f>G31+G32+G33</f>
        <v>43.000622446824515</v>
      </c>
      <c r="H34" s="413">
        <f t="shared" si="0"/>
        <v>0</v>
      </c>
      <c r="K34" s="48"/>
      <c r="L34" s="49"/>
    </row>
    <row r="35" spans="1:12" x14ac:dyDescent="0.2">
      <c r="A35" s="316"/>
      <c r="B35" s="575" t="s">
        <v>295</v>
      </c>
      <c r="C35" s="507" t="s">
        <v>266</v>
      </c>
      <c r="D35" s="53"/>
      <c r="E35" s="72">
        <v>2.4</v>
      </c>
      <c r="F35" s="11" t="s">
        <v>11</v>
      </c>
      <c r="G35" s="224">
        <v>2.4</v>
      </c>
      <c r="H35" s="413">
        <f t="shared" si="0"/>
        <v>0</v>
      </c>
      <c r="K35" s="48"/>
      <c r="L35" s="49"/>
    </row>
    <row r="36" spans="1:12" x14ac:dyDescent="0.2">
      <c r="A36" s="316"/>
      <c r="B36" s="580"/>
      <c r="C36" s="12" t="s">
        <v>280</v>
      </c>
      <c r="D36" s="197"/>
      <c r="E36" s="224">
        <f>2*E35</f>
        <v>4.8</v>
      </c>
      <c r="F36" s="111" t="s">
        <v>11</v>
      </c>
      <c r="G36" s="224">
        <f>2*G35</f>
        <v>4.8</v>
      </c>
      <c r="H36" s="413">
        <f t="shared" si="0"/>
        <v>0</v>
      </c>
      <c r="K36" s="48"/>
      <c r="L36" s="49"/>
    </row>
    <row r="37" spans="1:12" x14ac:dyDescent="0.2">
      <c r="A37" s="316"/>
      <c r="B37" s="580"/>
      <c r="C37" s="399" t="s">
        <v>225</v>
      </c>
      <c r="D37" s="183"/>
      <c r="E37" s="184">
        <f>2*(E31+E36)</f>
        <v>88.401244893649022</v>
      </c>
      <c r="F37" s="185" t="s">
        <v>11</v>
      </c>
      <c r="G37" s="224">
        <f>2*(G31+G36)</f>
        <v>88.401244893649022</v>
      </c>
      <c r="H37" s="413">
        <f t="shared" si="0"/>
        <v>0</v>
      </c>
      <c r="K37" s="48"/>
      <c r="L37" s="49"/>
    </row>
    <row r="38" spans="1:12" x14ac:dyDescent="0.2">
      <c r="A38" s="316"/>
      <c r="B38" s="580"/>
      <c r="C38" s="12" t="s">
        <v>268</v>
      </c>
      <c r="D38" s="197"/>
      <c r="E38" s="224">
        <f>E36*E26</f>
        <v>19.2</v>
      </c>
      <c r="F38" s="111" t="s">
        <v>11</v>
      </c>
      <c r="G38" s="224">
        <f>G36*G26</f>
        <v>19.2</v>
      </c>
      <c r="H38" s="413">
        <f t="shared" si="0"/>
        <v>0</v>
      </c>
      <c r="K38" s="48"/>
      <c r="L38" s="49"/>
    </row>
    <row r="39" spans="1:12" x14ac:dyDescent="0.2">
      <c r="A39" s="316"/>
      <c r="B39" s="580"/>
      <c r="C39" s="306" t="s">
        <v>226</v>
      </c>
      <c r="D39" s="22"/>
      <c r="E39" s="196">
        <f>E38*E34</f>
        <v>825.61195097903067</v>
      </c>
      <c r="F39" s="15" t="s">
        <v>25</v>
      </c>
      <c r="G39" s="196">
        <f>G38*G34</f>
        <v>825.61195097903067</v>
      </c>
      <c r="H39" s="413">
        <f t="shared" si="0"/>
        <v>0</v>
      </c>
      <c r="K39" s="48"/>
      <c r="L39" s="49"/>
    </row>
    <row r="40" spans="1:12" x14ac:dyDescent="0.2">
      <c r="A40" s="316"/>
      <c r="B40" s="575" t="s">
        <v>295</v>
      </c>
      <c r="C40" s="507" t="s">
        <v>206</v>
      </c>
      <c r="D40" s="281"/>
      <c r="E40" s="72">
        <v>2.5</v>
      </c>
      <c r="F40" s="11" t="s">
        <v>11</v>
      </c>
      <c r="G40" s="224">
        <v>2.5</v>
      </c>
      <c r="H40" s="413">
        <f t="shared" si="0"/>
        <v>0</v>
      </c>
      <c r="K40" s="48"/>
      <c r="L40" s="49"/>
    </row>
    <row r="41" spans="1:12" x14ac:dyDescent="0.2">
      <c r="A41" s="316"/>
      <c r="B41" s="580"/>
      <c r="C41" s="507" t="s">
        <v>228</v>
      </c>
      <c r="D41" s="281"/>
      <c r="E41" s="72">
        <v>1.5</v>
      </c>
      <c r="F41" s="11"/>
      <c r="G41" s="224">
        <v>1.5</v>
      </c>
      <c r="H41" s="413">
        <f t="shared" si="0"/>
        <v>0</v>
      </c>
      <c r="K41" s="48"/>
      <c r="L41" s="49"/>
    </row>
    <row r="42" spans="1:12" x14ac:dyDescent="0.2">
      <c r="A42" s="316"/>
      <c r="B42" s="580"/>
      <c r="C42" s="306" t="s">
        <v>227</v>
      </c>
      <c r="D42" s="22"/>
      <c r="E42" s="196">
        <f>2*E41*E40*E31</f>
        <v>295.50466835118385</v>
      </c>
      <c r="F42" s="15" t="s">
        <v>25</v>
      </c>
      <c r="G42" s="196">
        <f>2*G41*G40*G31</f>
        <v>295.50466835118385</v>
      </c>
      <c r="H42" s="413">
        <f t="shared" si="0"/>
        <v>0</v>
      </c>
      <c r="K42" s="48"/>
      <c r="L42" s="49"/>
    </row>
    <row r="43" spans="1:12" x14ac:dyDescent="0.2">
      <c r="A43" s="316"/>
      <c r="B43" s="580"/>
      <c r="C43" s="508" t="s">
        <v>281</v>
      </c>
      <c r="D43" s="286"/>
      <c r="E43" s="287">
        <f>E39+E42</f>
        <v>1121.1166193302145</v>
      </c>
      <c r="F43" s="37" t="s">
        <v>25</v>
      </c>
      <c r="G43" s="488">
        <f>G39+G42</f>
        <v>1121.1166193302145</v>
      </c>
      <c r="H43" s="413">
        <f t="shared" si="0"/>
        <v>0</v>
      </c>
      <c r="K43" s="48"/>
      <c r="L43" s="49"/>
    </row>
    <row r="44" spans="1:12" ht="15" x14ac:dyDescent="0.25">
      <c r="A44" s="316"/>
      <c r="B44" s="580"/>
      <c r="C44" s="28" t="s">
        <v>461</v>
      </c>
      <c r="D44" s="35"/>
      <c r="E44" s="41"/>
      <c r="F44" s="36"/>
      <c r="G44" s="113"/>
      <c r="H44" s="335"/>
      <c r="K44" s="48"/>
      <c r="L44" s="49"/>
    </row>
    <row r="45" spans="1:12" x14ac:dyDescent="0.2">
      <c r="A45" s="316"/>
      <c r="B45" s="581" t="s">
        <v>332</v>
      </c>
      <c r="C45" s="306" t="s">
        <v>16</v>
      </c>
      <c r="D45" s="306"/>
      <c r="E45" s="219">
        <f>'Parrilla de Aireación '!E18</f>
        <v>25</v>
      </c>
      <c r="F45" s="15" t="s">
        <v>27</v>
      </c>
      <c r="G45" s="219">
        <f>'Parrilla de Aireación '!G18</f>
        <v>25</v>
      </c>
      <c r="H45" s="413">
        <f t="shared" si="0"/>
        <v>0</v>
      </c>
      <c r="K45" s="48"/>
      <c r="L45" s="49"/>
    </row>
    <row r="46" spans="1:12" x14ac:dyDescent="0.2">
      <c r="A46" s="316"/>
      <c r="B46" s="716" t="s">
        <v>382</v>
      </c>
      <c r="C46" s="710" t="s">
        <v>462</v>
      </c>
      <c r="D46" s="721" t="s">
        <v>363</v>
      </c>
      <c r="E46" s="208">
        <v>40</v>
      </c>
      <c r="F46" s="209" t="s">
        <v>75</v>
      </c>
      <c r="G46" s="413">
        <v>40</v>
      </c>
      <c r="H46" s="413">
        <f t="shared" si="0"/>
        <v>0</v>
      </c>
      <c r="K46" s="48"/>
      <c r="L46" s="49"/>
    </row>
    <row r="47" spans="1:12" ht="14.25" customHeight="1" x14ac:dyDescent="0.2">
      <c r="A47" s="316"/>
      <c r="B47" s="717"/>
      <c r="C47" s="711"/>
      <c r="D47" s="722"/>
      <c r="E47" s="320">
        <f>E46/10</f>
        <v>4</v>
      </c>
      <c r="F47" s="321" t="s">
        <v>71</v>
      </c>
      <c r="G47" s="293">
        <f>G46/10</f>
        <v>4</v>
      </c>
      <c r="H47" s="413">
        <f t="shared" si="0"/>
        <v>0</v>
      </c>
      <c r="K47" s="48"/>
      <c r="L47" s="49"/>
    </row>
    <row r="48" spans="1:12" x14ac:dyDescent="0.2">
      <c r="A48" s="316"/>
      <c r="B48" s="580"/>
      <c r="C48" s="509" t="s">
        <v>463</v>
      </c>
      <c r="D48" s="25"/>
      <c r="E48" s="58">
        <f>E47*E43</f>
        <v>4484.4664773208578</v>
      </c>
      <c r="F48" s="6" t="s">
        <v>74</v>
      </c>
      <c r="G48" s="196">
        <f>G47*G43</f>
        <v>4484.4664773208578</v>
      </c>
      <c r="H48" s="413">
        <f t="shared" si="0"/>
        <v>0</v>
      </c>
      <c r="K48" s="48"/>
      <c r="L48" s="49"/>
    </row>
    <row r="49" spans="1:12" x14ac:dyDescent="0.2">
      <c r="A49" s="316"/>
      <c r="B49" s="581" t="s">
        <v>475</v>
      </c>
      <c r="C49" s="502" t="s">
        <v>73</v>
      </c>
      <c r="D49" s="210" t="s">
        <v>72</v>
      </c>
      <c r="E49" s="211" t="str">
        <f>IF(D49="Spirulina","61,4%","55,7%")</f>
        <v>55,7%</v>
      </c>
      <c r="F49" s="212"/>
      <c r="G49" s="487" t="str">
        <f>IF(D49="Spirulina","61,4%","55,7%")</f>
        <v>55,7%</v>
      </c>
      <c r="H49" s="413">
        <f t="shared" si="0"/>
        <v>0</v>
      </c>
      <c r="K49" s="48"/>
      <c r="L49" s="49"/>
    </row>
    <row r="50" spans="1:12" x14ac:dyDescent="0.2">
      <c r="A50" s="316"/>
      <c r="B50" s="583" t="s">
        <v>252</v>
      </c>
      <c r="C50" s="502" t="s">
        <v>76</v>
      </c>
      <c r="D50" s="210"/>
      <c r="E50" s="211">
        <v>0.16</v>
      </c>
      <c r="F50" s="212"/>
      <c r="G50" s="487">
        <v>0.16</v>
      </c>
      <c r="H50" s="413">
        <f t="shared" si="0"/>
        <v>0</v>
      </c>
      <c r="K50" s="48"/>
      <c r="L50" s="49"/>
    </row>
    <row r="51" spans="1:12" x14ac:dyDescent="0.2">
      <c r="A51" s="316"/>
      <c r="B51" s="580"/>
      <c r="C51" s="508" t="s">
        <v>464</v>
      </c>
      <c r="D51" s="30"/>
      <c r="E51" s="40">
        <f>E48*E49*E50/24</f>
        <v>16.652318852451454</v>
      </c>
      <c r="F51" s="37" t="s">
        <v>41</v>
      </c>
      <c r="G51" s="198">
        <f>G48*G49*G50/24</f>
        <v>16.652318852451454</v>
      </c>
      <c r="H51" s="413">
        <f t="shared" si="0"/>
        <v>0</v>
      </c>
      <c r="K51" s="48"/>
      <c r="L51" s="49"/>
    </row>
    <row r="52" spans="1:12" ht="15" customHeight="1" x14ac:dyDescent="0.2">
      <c r="A52" s="316"/>
      <c r="B52" s="580"/>
      <c r="C52" s="506" t="s">
        <v>477</v>
      </c>
      <c r="D52" s="75">
        <f>E52/E22</f>
        <v>0.70238765270908632</v>
      </c>
      <c r="E52" s="71">
        <f>E51/(E14*0.0864)</f>
        <v>27.533595986196186</v>
      </c>
      <c r="F52" s="70" t="s">
        <v>29</v>
      </c>
      <c r="G52" s="198">
        <f>G51/(G14*0.0864)</f>
        <v>27.533595986196186</v>
      </c>
      <c r="H52" s="413">
        <f t="shared" si="0"/>
        <v>0</v>
      </c>
      <c r="K52" s="48"/>
      <c r="L52" s="49"/>
    </row>
    <row r="53" spans="1:12" ht="15" customHeight="1" x14ac:dyDescent="0.2">
      <c r="A53" s="316"/>
      <c r="B53" s="580"/>
      <c r="C53" s="506" t="s">
        <v>198</v>
      </c>
      <c r="D53" s="75">
        <f>E53/E22</f>
        <v>0.29761234729091368</v>
      </c>
      <c r="E53" s="71">
        <f>E22-E52</f>
        <v>11.666404013803817</v>
      </c>
      <c r="F53" s="70" t="s">
        <v>53</v>
      </c>
      <c r="G53" s="198">
        <f>G22-G52</f>
        <v>11.666404013803817</v>
      </c>
      <c r="H53" s="413">
        <f t="shared" si="0"/>
        <v>0</v>
      </c>
      <c r="K53" s="48"/>
      <c r="L53" s="49"/>
    </row>
    <row r="54" spans="1:12" ht="15.75" customHeight="1" x14ac:dyDescent="0.25">
      <c r="A54" s="316"/>
      <c r="B54" s="580"/>
      <c r="C54" s="20" t="s">
        <v>51</v>
      </c>
      <c r="D54" s="55"/>
      <c r="E54" s="73"/>
      <c r="F54" s="47"/>
      <c r="G54" s="113"/>
      <c r="H54" s="335"/>
      <c r="I54" s="46"/>
      <c r="J54" s="47"/>
      <c r="K54" s="47"/>
    </row>
    <row r="55" spans="1:12" ht="15" customHeight="1" x14ac:dyDescent="0.2">
      <c r="A55" s="316"/>
      <c r="B55" s="580"/>
      <c r="C55" s="510" t="s">
        <v>177</v>
      </c>
      <c r="D55" s="139"/>
      <c r="E55" s="99">
        <f>3600*E53*E14/1000000</f>
        <v>0.29399338114785617</v>
      </c>
      <c r="F55" s="109" t="s">
        <v>175</v>
      </c>
      <c r="G55" s="99">
        <f>3600*G53*G14/1000000</f>
        <v>0.29399338114785617</v>
      </c>
      <c r="H55" s="413">
        <f t="shared" si="0"/>
        <v>0</v>
      </c>
      <c r="I55" s="46"/>
      <c r="J55" s="47"/>
      <c r="K55" s="47"/>
    </row>
    <row r="56" spans="1:12" ht="15" customHeight="1" x14ac:dyDescent="0.2">
      <c r="A56" s="316"/>
      <c r="B56" s="583"/>
      <c r="C56" s="408" t="s">
        <v>52</v>
      </c>
      <c r="D56" s="382" t="s">
        <v>422</v>
      </c>
      <c r="E56" s="268">
        <v>4.71</v>
      </c>
      <c r="F56" s="292" t="s">
        <v>176</v>
      </c>
      <c r="G56" s="99">
        <v>4.71</v>
      </c>
      <c r="H56" s="413">
        <f t="shared" si="0"/>
        <v>0</v>
      </c>
      <c r="I56" s="46"/>
      <c r="J56" s="47"/>
      <c r="K56" s="47"/>
    </row>
    <row r="57" spans="1:12" ht="15" customHeight="1" x14ac:dyDescent="0.2">
      <c r="A57" s="316"/>
      <c r="B57" s="584" t="s">
        <v>423</v>
      </c>
      <c r="C57" s="589" t="s">
        <v>424</v>
      </c>
      <c r="D57" s="38">
        <f>E57/E69</f>
        <v>0.62099192067038889</v>
      </c>
      <c r="E57" s="40">
        <f>E55*E56</f>
        <v>1.3847088252064026</v>
      </c>
      <c r="F57" s="37" t="s">
        <v>21</v>
      </c>
      <c r="G57" s="99">
        <f>G55*G56</f>
        <v>1.3847088252064026</v>
      </c>
      <c r="H57" s="413">
        <f t="shared" si="0"/>
        <v>0</v>
      </c>
      <c r="I57" s="46"/>
      <c r="J57" s="47"/>
      <c r="K57" s="47"/>
    </row>
    <row r="58" spans="1:12" ht="15" customHeight="1" x14ac:dyDescent="0.2">
      <c r="A58" s="316"/>
      <c r="B58" s="583"/>
      <c r="C58" s="306" t="s">
        <v>193</v>
      </c>
      <c r="D58" s="160" t="s">
        <v>203</v>
      </c>
      <c r="E58" s="172">
        <v>2.5000000000000001E-2</v>
      </c>
      <c r="F58" s="111" t="s">
        <v>91</v>
      </c>
      <c r="G58" s="172">
        <v>2.5000000000000001E-2</v>
      </c>
      <c r="H58" s="413">
        <f t="shared" si="0"/>
        <v>0</v>
      </c>
      <c r="I58" s="46"/>
      <c r="J58" s="47"/>
      <c r="K58" s="47"/>
    </row>
    <row r="59" spans="1:12" ht="15" customHeight="1" x14ac:dyDescent="0.2">
      <c r="A59" s="316"/>
      <c r="B59" s="583" t="s">
        <v>373</v>
      </c>
      <c r="C59" s="502" t="s">
        <v>374</v>
      </c>
      <c r="D59" s="210"/>
      <c r="E59" s="211">
        <v>0.05</v>
      </c>
      <c r="F59" s="212" t="s">
        <v>199</v>
      </c>
      <c r="G59" s="487">
        <v>0.05</v>
      </c>
      <c r="H59" s="413">
        <f t="shared" si="0"/>
        <v>0</v>
      </c>
      <c r="I59" s="46"/>
      <c r="J59" s="47"/>
      <c r="K59" s="47"/>
    </row>
    <row r="60" spans="1:12" ht="15" customHeight="1" x14ac:dyDescent="0.2">
      <c r="A60" s="316"/>
      <c r="B60" s="583"/>
      <c r="C60" s="306" t="s">
        <v>375</v>
      </c>
      <c r="D60" s="231" t="s">
        <v>196</v>
      </c>
      <c r="E60" s="161">
        <v>0.34</v>
      </c>
      <c r="F60" s="111"/>
      <c r="G60" s="161">
        <v>0.34</v>
      </c>
      <c r="H60" s="413">
        <f t="shared" si="0"/>
        <v>0</v>
      </c>
      <c r="I60" s="46"/>
      <c r="J60" s="47"/>
      <c r="K60" s="47"/>
    </row>
    <row r="61" spans="1:12" ht="15" customHeight="1" x14ac:dyDescent="0.2">
      <c r="A61" s="316"/>
      <c r="B61" s="583"/>
      <c r="C61" s="306" t="s">
        <v>201</v>
      </c>
      <c r="D61" s="159"/>
      <c r="E61" s="162">
        <f>E59*E60</f>
        <v>1.7000000000000001E-2</v>
      </c>
      <c r="F61" s="111" t="s">
        <v>200</v>
      </c>
      <c r="G61" s="162">
        <f>G59*G60</f>
        <v>1.7000000000000001E-2</v>
      </c>
      <c r="H61" s="413">
        <f t="shared" si="0"/>
        <v>0</v>
      </c>
      <c r="I61" s="46"/>
      <c r="J61" s="47"/>
      <c r="K61" s="47"/>
    </row>
    <row r="62" spans="1:12" ht="15" customHeight="1" x14ac:dyDescent="0.2">
      <c r="A62" s="316"/>
      <c r="B62" s="583" t="s">
        <v>194</v>
      </c>
      <c r="C62" s="408" t="s">
        <v>195</v>
      </c>
      <c r="D62" s="382"/>
      <c r="E62" s="268">
        <v>8.07</v>
      </c>
      <c r="F62" s="292"/>
      <c r="G62" s="99">
        <v>8.07</v>
      </c>
      <c r="H62" s="413">
        <f t="shared" si="0"/>
        <v>0</v>
      </c>
      <c r="I62" s="46"/>
      <c r="J62" s="47"/>
      <c r="K62" s="47"/>
    </row>
    <row r="63" spans="1:12" ht="15" customHeight="1" x14ac:dyDescent="0.2">
      <c r="A63" s="316"/>
      <c r="B63" s="583"/>
      <c r="C63" s="306" t="s">
        <v>197</v>
      </c>
      <c r="D63" s="159"/>
      <c r="E63" s="163">
        <f>24*E62*E55</f>
        <v>56.940638060716786</v>
      </c>
      <c r="F63" s="111" t="s">
        <v>56</v>
      </c>
      <c r="G63" s="163">
        <f>24*G62*G55</f>
        <v>56.940638060716786</v>
      </c>
      <c r="H63" s="413">
        <f t="shared" si="0"/>
        <v>0</v>
      </c>
      <c r="I63" s="46"/>
      <c r="J63" s="47"/>
      <c r="K63" s="47"/>
    </row>
    <row r="64" spans="1:12" ht="15" customHeight="1" x14ac:dyDescent="0.2">
      <c r="A64" s="316"/>
      <c r="B64" s="583"/>
      <c r="C64" s="511" t="s">
        <v>202</v>
      </c>
      <c r="D64" s="165"/>
      <c r="E64" s="166">
        <f>E63/E61</f>
        <v>3349.4492976892225</v>
      </c>
      <c r="F64" s="167" t="s">
        <v>91</v>
      </c>
      <c r="G64" s="571">
        <f>G63/G61</f>
        <v>3349.4492976892225</v>
      </c>
      <c r="H64" s="413">
        <f t="shared" si="0"/>
        <v>0</v>
      </c>
      <c r="I64" s="46"/>
      <c r="J64" s="47"/>
      <c r="K64" s="47"/>
    </row>
    <row r="65" spans="1:11" ht="15" hidden="1" customHeight="1" x14ac:dyDescent="0.2">
      <c r="A65" s="316"/>
      <c r="B65" s="583"/>
      <c r="C65" s="512"/>
      <c r="D65" s="132"/>
      <c r="E65" s="559"/>
      <c r="F65" s="169"/>
      <c r="G65" s="168"/>
      <c r="H65" s="413">
        <f t="shared" si="0"/>
        <v>0</v>
      </c>
      <c r="I65" s="46"/>
      <c r="J65" s="47"/>
      <c r="K65" s="47"/>
    </row>
    <row r="66" spans="1:11" ht="15" customHeight="1" x14ac:dyDescent="0.2">
      <c r="A66" s="316"/>
      <c r="B66" s="583"/>
      <c r="C66" s="513"/>
      <c r="D66" s="164"/>
      <c r="E66" s="170">
        <f>E64/(E40*E39)</f>
        <v>1.6227717119246465</v>
      </c>
      <c r="F66" s="171" t="s">
        <v>37</v>
      </c>
      <c r="G66" s="170">
        <f>G64/(G40*G39)</f>
        <v>1.6227717119246465</v>
      </c>
      <c r="H66" s="413">
        <f t="shared" si="0"/>
        <v>0</v>
      </c>
      <c r="I66" s="46"/>
      <c r="J66" s="47"/>
      <c r="K66" s="47"/>
    </row>
    <row r="67" spans="1:11" ht="15" customHeight="1" x14ac:dyDescent="0.2">
      <c r="A67" s="316"/>
      <c r="B67" s="583" t="s">
        <v>476</v>
      </c>
      <c r="C67" s="508" t="s">
        <v>209</v>
      </c>
      <c r="D67" s="38"/>
      <c r="E67" s="40">
        <f>24*E64*(377-34.6*LN(E58))/(1000000*24)</f>
        <v>1.6902501137395747</v>
      </c>
      <c r="F67" s="37" t="s">
        <v>21</v>
      </c>
      <c r="G67" s="170">
        <f>24*G64*(377-34.6*LN(G58))/(1000000*24)</f>
        <v>1.6902501137395747</v>
      </c>
      <c r="H67" s="413">
        <f t="shared" si="0"/>
        <v>0</v>
      </c>
      <c r="I67" s="46"/>
      <c r="J67" s="47"/>
      <c r="K67" s="47"/>
    </row>
    <row r="68" spans="1:11" ht="15" customHeight="1" x14ac:dyDescent="0.2">
      <c r="A68" s="316"/>
      <c r="B68" s="583"/>
      <c r="C68" s="508" t="s">
        <v>204</v>
      </c>
      <c r="D68" s="38">
        <f>E68/E69</f>
        <v>0.37900807932961111</v>
      </c>
      <c r="E68" s="40">
        <f>E67*12/24</f>
        <v>0.84512505686978734</v>
      </c>
      <c r="F68" s="37" t="s">
        <v>21</v>
      </c>
      <c r="G68" s="170">
        <f>G67*12/24</f>
        <v>0.84512505686978734</v>
      </c>
      <c r="H68" s="413">
        <f t="shared" si="0"/>
        <v>0</v>
      </c>
      <c r="I68" s="46"/>
      <c r="J68" s="47"/>
      <c r="K68" s="47"/>
    </row>
    <row r="69" spans="1:11" ht="15" customHeight="1" x14ac:dyDescent="0.2">
      <c r="A69" s="316"/>
      <c r="B69" s="583"/>
      <c r="C69" s="508" t="s">
        <v>205</v>
      </c>
      <c r="D69" s="30"/>
      <c r="E69" s="40">
        <f>E57+E68</f>
        <v>2.22983388207619</v>
      </c>
      <c r="F69" s="37" t="s">
        <v>21</v>
      </c>
      <c r="G69" s="170">
        <f>G57+G68</f>
        <v>2.22983388207619</v>
      </c>
      <c r="H69" s="413">
        <f t="shared" si="0"/>
        <v>0</v>
      </c>
      <c r="I69" s="46"/>
      <c r="J69" s="47"/>
      <c r="K69" s="47"/>
    </row>
    <row r="70" spans="1:11" ht="15" customHeight="1" x14ac:dyDescent="0.25">
      <c r="A70" s="316"/>
      <c r="B70" s="583"/>
      <c r="C70" s="20" t="s">
        <v>263</v>
      </c>
      <c r="D70" s="8"/>
      <c r="E70" s="39"/>
      <c r="F70" s="23"/>
      <c r="G70" s="113"/>
      <c r="H70" s="335"/>
      <c r="I70" s="46"/>
      <c r="J70" s="47"/>
      <c r="K70" s="47"/>
    </row>
    <row r="71" spans="1:11" ht="15" customHeight="1" x14ac:dyDescent="0.2">
      <c r="A71" s="316"/>
      <c r="B71" s="575" t="s">
        <v>295</v>
      </c>
      <c r="C71" s="507" t="s">
        <v>261</v>
      </c>
      <c r="D71" s="53"/>
      <c r="E71" s="195">
        <v>18</v>
      </c>
      <c r="F71" s="11" t="s">
        <v>5</v>
      </c>
      <c r="G71" s="219">
        <v>18</v>
      </c>
      <c r="H71" s="413">
        <f t="shared" si="0"/>
        <v>0</v>
      </c>
      <c r="I71" s="46"/>
      <c r="J71" s="47"/>
      <c r="K71" s="47"/>
    </row>
    <row r="72" spans="1:11" ht="15" customHeight="1" x14ac:dyDescent="0.2">
      <c r="A72" s="316"/>
      <c r="B72" s="581" t="s">
        <v>332</v>
      </c>
      <c r="C72" s="514" t="s">
        <v>190</v>
      </c>
      <c r="D72" s="309"/>
      <c r="E72" s="310">
        <f>E71*'Parrilla de Aireación '!E34</f>
        <v>11.612879999999999</v>
      </c>
      <c r="F72" s="311" t="s">
        <v>8</v>
      </c>
      <c r="G72" s="224">
        <f>G71*'Parrilla de Aireación '!G34</f>
        <v>11.612879999999999</v>
      </c>
      <c r="H72" s="413">
        <f t="shared" si="0"/>
        <v>0</v>
      </c>
      <c r="I72" s="46"/>
      <c r="J72" s="47"/>
      <c r="K72" s="47"/>
    </row>
    <row r="73" spans="1:11" ht="15" customHeight="1" x14ac:dyDescent="0.2">
      <c r="A73" s="316"/>
      <c r="B73" s="581" t="s">
        <v>322</v>
      </c>
      <c r="C73" s="508" t="s">
        <v>262</v>
      </c>
      <c r="D73" s="38"/>
      <c r="E73" s="232">
        <f>'Planta Pincta'!E14/'Planta Pincta'!E72</f>
        <v>0.60277898333574453</v>
      </c>
      <c r="F73" s="31"/>
      <c r="G73" s="489">
        <f>'Planta Pincta'!G14/'Planta Pincta'!G72</f>
        <v>0.60277898333574453</v>
      </c>
      <c r="H73" s="413">
        <f t="shared" si="0"/>
        <v>0</v>
      </c>
      <c r="I73" s="46"/>
      <c r="J73" s="47"/>
      <c r="K73" s="47"/>
    </row>
    <row r="74" spans="1:11" ht="15" customHeight="1" x14ac:dyDescent="0.2">
      <c r="A74" s="316"/>
      <c r="B74" s="581" t="s">
        <v>322</v>
      </c>
      <c r="C74" s="508" t="s">
        <v>191</v>
      </c>
      <c r="D74" s="38"/>
      <c r="E74" s="42">
        <f>E73*'Parrilla de Aireación '!E86*'Planta Pincta'!E71</f>
        <v>0.35983388207619088</v>
      </c>
      <c r="F74" s="31" t="s">
        <v>26</v>
      </c>
      <c r="G74" s="198">
        <f>G73*'Parrilla de Aireación '!G86*'Planta Pincta'!G71</f>
        <v>0.35983388207619088</v>
      </c>
      <c r="H74" s="413">
        <f t="shared" si="0"/>
        <v>0</v>
      </c>
      <c r="I74" s="46"/>
      <c r="J74" s="47"/>
      <c r="K74" s="47"/>
    </row>
    <row r="75" spans="1:11" ht="15" customHeight="1" x14ac:dyDescent="0.2">
      <c r="A75" s="316"/>
      <c r="B75" s="581" t="s">
        <v>334</v>
      </c>
      <c r="C75" s="338" t="s">
        <v>213</v>
      </c>
      <c r="D75" s="142"/>
      <c r="E75" s="379">
        <f>'Tuberias de Aireación'!E2</f>
        <v>0.37506129115913822</v>
      </c>
      <c r="F75" s="9" t="s">
        <v>11</v>
      </c>
      <c r="G75" s="206">
        <f>'Tuberias de Aireación'!G2</f>
        <v>0.37506129115913822</v>
      </c>
      <c r="H75" s="413">
        <f t="shared" si="0"/>
        <v>0</v>
      </c>
      <c r="I75" s="46"/>
      <c r="J75" s="47"/>
      <c r="K75" s="47"/>
    </row>
    <row r="76" spans="1:11" ht="15" customHeight="1" x14ac:dyDescent="0.2">
      <c r="A76" s="316"/>
      <c r="B76" s="581" t="s">
        <v>332</v>
      </c>
      <c r="C76" s="338" t="s">
        <v>212</v>
      </c>
      <c r="D76" s="8"/>
      <c r="E76" s="379">
        <f>'Parrilla de Aireación '!E32</f>
        <v>3.2653061224489792</v>
      </c>
      <c r="F76" s="9" t="s">
        <v>11</v>
      </c>
      <c r="G76" s="206">
        <f>'Parrilla de Aireación '!G32</f>
        <v>3.2653061224489792</v>
      </c>
      <c r="H76" s="413">
        <f t="shared" si="0"/>
        <v>0</v>
      </c>
      <c r="I76" s="46"/>
      <c r="J76" s="47"/>
      <c r="K76" s="47"/>
    </row>
    <row r="77" spans="1:11" ht="15" customHeight="1" x14ac:dyDescent="0.2">
      <c r="A77" s="316"/>
      <c r="B77" s="580"/>
      <c r="C77" s="338" t="s">
        <v>35</v>
      </c>
      <c r="D77" s="8"/>
      <c r="E77" s="379">
        <v>2.4</v>
      </c>
      <c r="F77" s="9" t="s">
        <v>11</v>
      </c>
      <c r="G77" s="206">
        <v>2.4</v>
      </c>
      <c r="H77" s="413">
        <f t="shared" si="0"/>
        <v>0</v>
      </c>
      <c r="I77" s="46"/>
      <c r="J77" s="47"/>
      <c r="K77" s="47"/>
    </row>
    <row r="78" spans="1:11" ht="15" customHeight="1" x14ac:dyDescent="0.2">
      <c r="A78" s="316"/>
      <c r="B78" s="580"/>
      <c r="C78" s="399" t="s">
        <v>215</v>
      </c>
      <c r="D78" s="183"/>
      <c r="E78" s="308">
        <f>SUM(E75:E77)</f>
        <v>6.0403674136081174</v>
      </c>
      <c r="F78" s="185" t="s">
        <v>11</v>
      </c>
      <c r="G78" s="206">
        <f>SUM(G75:G77)</f>
        <v>6.0403674136081174</v>
      </c>
      <c r="H78" s="413">
        <f t="shared" si="0"/>
        <v>0</v>
      </c>
      <c r="I78" s="46"/>
      <c r="J78" s="47"/>
      <c r="K78" s="47"/>
    </row>
    <row r="79" spans="1:11" ht="15" customHeight="1" x14ac:dyDescent="0.2">
      <c r="A79" s="316"/>
      <c r="B79" s="581" t="s">
        <v>291</v>
      </c>
      <c r="C79" s="400" t="s">
        <v>217</v>
      </c>
      <c r="D79" s="295"/>
      <c r="E79" s="296">
        <v>0.7</v>
      </c>
      <c r="F79" s="297"/>
      <c r="G79" s="490">
        <v>0.7</v>
      </c>
      <c r="H79" s="413">
        <f t="shared" ref="H79:H131" si="1">G79-E79</f>
        <v>0</v>
      </c>
      <c r="I79" s="46"/>
      <c r="J79" s="47"/>
      <c r="K79" s="47"/>
    </row>
    <row r="80" spans="1:11" ht="15" customHeight="1" x14ac:dyDescent="0.2">
      <c r="A80" s="316"/>
      <c r="B80" s="580"/>
      <c r="C80" s="515" t="s">
        <v>214</v>
      </c>
      <c r="D80" s="188"/>
      <c r="E80" s="189">
        <f>9.81*0.001*E78*E72/E79</f>
        <v>0.98304695362098216</v>
      </c>
      <c r="F80" s="190" t="s">
        <v>13</v>
      </c>
      <c r="G80" s="99">
        <f>9.81*0.001*G78*G72/G79</f>
        <v>0.98304695362098216</v>
      </c>
      <c r="H80" s="413">
        <f t="shared" si="1"/>
        <v>0</v>
      </c>
      <c r="I80" s="46"/>
      <c r="J80" s="47"/>
      <c r="K80" s="47"/>
    </row>
    <row r="81" spans="1:11" ht="15" customHeight="1" x14ac:dyDescent="0.2">
      <c r="A81" s="316"/>
      <c r="B81" s="580"/>
      <c r="C81" s="516" t="s">
        <v>62</v>
      </c>
      <c r="D81" s="193"/>
      <c r="E81" s="269">
        <f>E73</f>
        <v>0.60277898333574453</v>
      </c>
      <c r="F81" s="194"/>
      <c r="G81" s="491">
        <f>G73</f>
        <v>0.60277898333574453</v>
      </c>
      <c r="H81" s="413">
        <f t="shared" si="1"/>
        <v>0</v>
      </c>
      <c r="I81" s="46"/>
      <c r="J81" s="47"/>
      <c r="K81" s="47"/>
    </row>
    <row r="82" spans="1:11" ht="15" customHeight="1" x14ac:dyDescent="0.2">
      <c r="A82" s="316"/>
      <c r="B82" s="580"/>
      <c r="C82" s="517" t="s">
        <v>216</v>
      </c>
      <c r="D82" s="56"/>
      <c r="E82" s="59">
        <f>E80*E81*24*365</f>
        <v>5190.8259790886186</v>
      </c>
      <c r="F82" s="34" t="s">
        <v>33</v>
      </c>
      <c r="G82" s="451">
        <f>G80*G81*24*365</f>
        <v>5190.8259790886186</v>
      </c>
      <c r="H82" s="413">
        <f t="shared" si="1"/>
        <v>0</v>
      </c>
      <c r="I82" s="46"/>
      <c r="J82" s="47"/>
      <c r="K82" s="47"/>
    </row>
    <row r="83" spans="1:11" ht="15" customHeight="1" x14ac:dyDescent="0.25">
      <c r="A83" s="316"/>
      <c r="B83" s="580"/>
      <c r="C83" s="20" t="s">
        <v>264</v>
      </c>
      <c r="D83" s="8"/>
      <c r="E83" s="39"/>
      <c r="F83" s="23"/>
      <c r="G83" s="113"/>
      <c r="H83" s="335"/>
      <c r="I83" s="46"/>
      <c r="J83" s="47"/>
      <c r="K83" s="47"/>
    </row>
    <row r="84" spans="1:11" ht="15" customHeight="1" x14ac:dyDescent="0.2">
      <c r="A84" s="316"/>
      <c r="B84" s="580"/>
      <c r="C84" s="617" t="s">
        <v>273</v>
      </c>
      <c r="D84" s="618"/>
      <c r="E84" s="621">
        <v>1</v>
      </c>
      <c r="F84" s="619"/>
      <c r="G84" s="490">
        <v>1</v>
      </c>
      <c r="H84" s="620">
        <f>G84-E84</f>
        <v>0</v>
      </c>
      <c r="I84" s="46"/>
      <c r="J84" s="47"/>
      <c r="K84" s="47"/>
    </row>
    <row r="85" spans="1:11" ht="15" customHeight="1" x14ac:dyDescent="0.2">
      <c r="A85" s="316"/>
      <c r="B85" s="581" t="s">
        <v>332</v>
      </c>
      <c r="C85" s="518" t="s">
        <v>298</v>
      </c>
      <c r="D85" s="381" t="s">
        <v>371</v>
      </c>
      <c r="E85" s="379">
        <f>'Parrilla de Aireación '!E85</f>
        <v>1.8660747687428447</v>
      </c>
      <c r="F85" s="380" t="s">
        <v>26</v>
      </c>
      <c r="G85" s="379">
        <f>'Parrilla de Aireación '!G85</f>
        <v>1.8660747687428447</v>
      </c>
      <c r="H85" s="413">
        <f t="shared" si="1"/>
        <v>0</v>
      </c>
      <c r="I85" s="46"/>
      <c r="J85" s="47"/>
      <c r="K85" s="47"/>
    </row>
    <row r="86" spans="1:11" ht="15" customHeight="1" x14ac:dyDescent="0.2">
      <c r="A86" s="316"/>
      <c r="B86" s="585" t="s">
        <v>369</v>
      </c>
      <c r="C86" s="519" t="s">
        <v>192</v>
      </c>
      <c r="D86" s="570" t="str">
        <f>IF(ABS(E86-E85)&gt;0.02,"ejecutar función objetivo","correcto ")</f>
        <v xml:space="preserve">correcto </v>
      </c>
      <c r="E86" s="42">
        <f>E69-E74</f>
        <v>1.8699999999999992</v>
      </c>
      <c r="F86" s="31" t="s">
        <v>21</v>
      </c>
      <c r="G86" s="198">
        <f>G69-G74</f>
        <v>1.8699999999999992</v>
      </c>
      <c r="H86" s="413">
        <f t="shared" si="1"/>
        <v>0</v>
      </c>
      <c r="I86" s="46"/>
      <c r="J86" s="47"/>
      <c r="K86" s="47"/>
    </row>
    <row r="87" spans="1:11" ht="15" customHeight="1" x14ac:dyDescent="0.2">
      <c r="A87" s="316"/>
      <c r="B87" s="585" t="s">
        <v>370</v>
      </c>
      <c r="C87" s="564" t="s">
        <v>416</v>
      </c>
      <c r="D87" s="565" t="s">
        <v>417</v>
      </c>
      <c r="E87" s="567">
        <v>14.066874148941503</v>
      </c>
      <c r="F87" s="566" t="s">
        <v>5</v>
      </c>
      <c r="G87" s="198">
        <v>14.066874148941503</v>
      </c>
      <c r="H87" s="413">
        <f t="shared" si="1"/>
        <v>0</v>
      </c>
      <c r="I87" s="46"/>
      <c r="J87" s="47"/>
      <c r="K87" s="47"/>
    </row>
    <row r="88" spans="1:11" ht="15" customHeight="1" x14ac:dyDescent="0.2">
      <c r="A88" s="316"/>
      <c r="B88" s="585"/>
      <c r="C88" s="560"/>
      <c r="D88" s="561" t="s">
        <v>418</v>
      </c>
      <c r="E88" s="562">
        <f>ROUND(E87+0.4,0)</f>
        <v>14</v>
      </c>
      <c r="F88" s="563" t="s">
        <v>5</v>
      </c>
      <c r="G88" s="485">
        <f>ROUND(G87+0.4,0)</f>
        <v>14</v>
      </c>
      <c r="H88" s="413">
        <f t="shared" si="1"/>
        <v>0</v>
      </c>
      <c r="I88" s="46"/>
      <c r="J88" s="47"/>
      <c r="K88" s="47"/>
    </row>
    <row r="89" spans="1:11" ht="15" customHeight="1" x14ac:dyDescent="0.2">
      <c r="A89" s="316"/>
      <c r="B89" s="596" t="s">
        <v>458</v>
      </c>
      <c r="C89" s="662" t="s">
        <v>456</v>
      </c>
      <c r="D89" s="210" t="s">
        <v>459</v>
      </c>
      <c r="E89" s="214">
        <v>11</v>
      </c>
      <c r="F89" s="212" t="s">
        <v>346</v>
      </c>
      <c r="G89" s="340">
        <v>11</v>
      </c>
      <c r="H89" s="659">
        <f>G89-E89</f>
        <v>0</v>
      </c>
      <c r="I89" s="46"/>
      <c r="J89" s="47"/>
      <c r="K89" s="47"/>
    </row>
    <row r="90" spans="1:11" ht="15" customHeight="1" x14ac:dyDescent="0.2">
      <c r="A90" s="316"/>
      <c r="B90" s="660" t="s">
        <v>295</v>
      </c>
      <c r="C90" s="546" t="s">
        <v>457</v>
      </c>
      <c r="D90" s="661" t="s">
        <v>460</v>
      </c>
      <c r="E90" s="666">
        <v>1</v>
      </c>
      <c r="F90" s="658" t="s">
        <v>346</v>
      </c>
      <c r="G90" s="492">
        <v>1</v>
      </c>
      <c r="H90" s="659">
        <f>G90-E90</f>
        <v>0</v>
      </c>
      <c r="I90" s="46"/>
      <c r="J90" s="47"/>
      <c r="K90" s="47"/>
    </row>
    <row r="91" spans="1:11" ht="15" customHeight="1" x14ac:dyDescent="0.2">
      <c r="A91" s="316"/>
      <c r="B91" s="575"/>
      <c r="C91" s="522" t="s">
        <v>208</v>
      </c>
      <c r="D91" s="313"/>
      <c r="E91" s="314">
        <f>E89+E90</f>
        <v>12</v>
      </c>
      <c r="F91" s="315" t="s">
        <v>346</v>
      </c>
      <c r="G91" s="198">
        <f>G89+G90</f>
        <v>12</v>
      </c>
      <c r="H91" s="413">
        <f t="shared" si="1"/>
        <v>0</v>
      </c>
      <c r="I91" s="46"/>
      <c r="J91" s="47"/>
      <c r="K91" s="47"/>
    </row>
    <row r="92" spans="1:11" ht="15" customHeight="1" x14ac:dyDescent="0.2">
      <c r="A92" s="316"/>
      <c r="B92" s="583"/>
      <c r="C92" s="510" t="s">
        <v>274</v>
      </c>
      <c r="D92" s="140"/>
      <c r="E92" s="141">
        <f>E84*E91/24</f>
        <v>0.5</v>
      </c>
      <c r="F92" s="109"/>
      <c r="G92" s="663">
        <f>G84*G91/24</f>
        <v>0.5</v>
      </c>
      <c r="H92" s="413">
        <f t="shared" si="1"/>
        <v>0</v>
      </c>
      <c r="I92" s="46"/>
      <c r="J92" s="47"/>
      <c r="K92" s="47"/>
    </row>
    <row r="93" spans="1:11" ht="15" x14ac:dyDescent="0.25">
      <c r="A93" s="316"/>
      <c r="B93" s="583"/>
      <c r="C93" s="20" t="s">
        <v>70</v>
      </c>
      <c r="D93" s="8"/>
      <c r="E93" s="39"/>
      <c r="F93" s="23"/>
      <c r="G93" s="113"/>
      <c r="H93" s="335"/>
      <c r="I93" s="46"/>
      <c r="J93" s="47"/>
      <c r="K93" s="47"/>
    </row>
    <row r="94" spans="1:11" x14ac:dyDescent="0.2">
      <c r="A94" s="316"/>
      <c r="B94" s="583" t="s">
        <v>385</v>
      </c>
      <c r="C94" s="502" t="s">
        <v>465</v>
      </c>
      <c r="D94" s="210" t="s">
        <v>250</v>
      </c>
      <c r="E94" s="213">
        <v>8</v>
      </c>
      <c r="F94" s="212"/>
      <c r="G94" s="485">
        <v>8</v>
      </c>
      <c r="H94" s="413">
        <f t="shared" si="1"/>
        <v>0</v>
      </c>
      <c r="I94" s="46"/>
      <c r="J94" s="47"/>
      <c r="K94" s="47"/>
    </row>
    <row r="95" spans="1:11" x14ac:dyDescent="0.2">
      <c r="A95" s="316"/>
      <c r="B95" s="583"/>
      <c r="C95" s="519" t="s">
        <v>466</v>
      </c>
      <c r="D95" s="655"/>
      <c r="E95" s="656">
        <f>E52*E94</f>
        <v>220.26876788956949</v>
      </c>
      <c r="F95" s="31" t="s">
        <v>58</v>
      </c>
      <c r="G95" s="219">
        <f>G52*G94</f>
        <v>220.26876788956949</v>
      </c>
      <c r="H95" s="413">
        <f t="shared" si="1"/>
        <v>0</v>
      </c>
      <c r="I95" s="46"/>
      <c r="J95" s="47"/>
      <c r="K95" s="47"/>
    </row>
    <row r="96" spans="1:11" x14ac:dyDescent="0.2">
      <c r="A96" s="316"/>
      <c r="B96" s="575" t="s">
        <v>455</v>
      </c>
      <c r="C96" s="519" t="s">
        <v>454</v>
      </c>
      <c r="D96" s="655"/>
      <c r="E96" s="657">
        <v>0.4</v>
      </c>
      <c r="F96" s="31"/>
      <c r="G96" s="490">
        <v>0.4</v>
      </c>
      <c r="H96" s="413">
        <f t="shared" si="1"/>
        <v>0</v>
      </c>
      <c r="I96" s="46"/>
      <c r="J96" s="47"/>
      <c r="K96" s="47"/>
    </row>
    <row r="97" spans="1:11" x14ac:dyDescent="0.2">
      <c r="A97" s="316"/>
      <c r="B97" s="583" t="s">
        <v>252</v>
      </c>
      <c r="C97" s="392" t="s">
        <v>90</v>
      </c>
      <c r="D97" s="210"/>
      <c r="E97" s="218">
        <v>20</v>
      </c>
      <c r="F97" s="212"/>
      <c r="G97" s="219">
        <v>20</v>
      </c>
      <c r="H97" s="413">
        <f t="shared" si="1"/>
        <v>0</v>
      </c>
      <c r="I97" s="46"/>
      <c r="J97" s="47"/>
      <c r="K97" s="47"/>
    </row>
    <row r="98" spans="1:11" x14ac:dyDescent="0.2">
      <c r="A98" s="316"/>
      <c r="B98" s="583"/>
      <c r="C98" s="521" t="s">
        <v>57</v>
      </c>
      <c r="D98" s="22"/>
      <c r="E98" s="163">
        <f>E53*E97</f>
        <v>233.32808027607632</v>
      </c>
      <c r="F98" s="111" t="s">
        <v>58</v>
      </c>
      <c r="G98" s="163">
        <f>G53*G97</f>
        <v>233.32808027607632</v>
      </c>
      <c r="H98" s="413">
        <f t="shared" si="1"/>
        <v>0</v>
      </c>
      <c r="I98" s="46"/>
      <c r="J98" s="47"/>
      <c r="K98" s="47"/>
    </row>
    <row r="99" spans="1:11" x14ac:dyDescent="0.2">
      <c r="A99" s="316"/>
      <c r="B99" s="583"/>
      <c r="C99" s="517" t="s">
        <v>59</v>
      </c>
      <c r="D99" s="33"/>
      <c r="E99" s="57">
        <f>E95*E96+E98-E15</f>
        <v>101.43558743190414</v>
      </c>
      <c r="F99" s="34" t="s">
        <v>58</v>
      </c>
      <c r="G99" s="163">
        <f>G95*G96+G98-G15</f>
        <v>101.43558743190414</v>
      </c>
      <c r="H99" s="413">
        <f t="shared" si="1"/>
        <v>0</v>
      </c>
      <c r="I99" s="46"/>
      <c r="J99" s="47"/>
      <c r="K99" s="47"/>
    </row>
    <row r="100" spans="1:11" x14ac:dyDescent="0.2">
      <c r="A100" s="316"/>
      <c r="B100" s="583"/>
      <c r="C100" s="12" t="s">
        <v>467</v>
      </c>
      <c r="D100" s="22"/>
      <c r="E100" s="219">
        <f>E14*E99*0.0864</f>
        <v>61.348243278815623</v>
      </c>
      <c r="F100" s="111" t="s">
        <v>56</v>
      </c>
      <c r="G100" s="219">
        <f>G14*G99*0.0864</f>
        <v>61.348243278815623</v>
      </c>
      <c r="H100" s="413">
        <f t="shared" si="1"/>
        <v>0</v>
      </c>
      <c r="I100" s="46"/>
      <c r="J100" s="47"/>
      <c r="K100" s="47"/>
    </row>
    <row r="101" spans="1:11" x14ac:dyDescent="0.2">
      <c r="A101" s="316"/>
      <c r="B101" s="583" t="s">
        <v>383</v>
      </c>
      <c r="C101" s="502" t="s">
        <v>468</v>
      </c>
      <c r="D101" s="210"/>
      <c r="E101" s="214">
        <v>20</v>
      </c>
      <c r="F101" s="212" t="s">
        <v>38</v>
      </c>
      <c r="G101" s="198">
        <v>20</v>
      </c>
      <c r="H101" s="413">
        <f t="shared" si="1"/>
        <v>0</v>
      </c>
      <c r="I101" s="46"/>
      <c r="J101" s="47"/>
      <c r="K101" s="47"/>
    </row>
    <row r="102" spans="1:11" x14ac:dyDescent="0.2">
      <c r="A102" s="316"/>
      <c r="B102" s="583"/>
      <c r="C102" s="306" t="s">
        <v>469</v>
      </c>
      <c r="D102" s="312" t="str">
        <f>D49</f>
        <v>Clorela</v>
      </c>
      <c r="E102" s="198">
        <f>E49*E101</f>
        <v>11.14</v>
      </c>
      <c r="F102" s="111" t="s">
        <v>92</v>
      </c>
      <c r="G102" s="198">
        <f>G49*G101</f>
        <v>11.14</v>
      </c>
      <c r="H102" s="413">
        <f t="shared" si="1"/>
        <v>0</v>
      </c>
      <c r="I102" s="46"/>
      <c r="J102" s="47"/>
      <c r="K102" s="47"/>
    </row>
    <row r="103" spans="1:11" x14ac:dyDescent="0.2">
      <c r="A103" s="316"/>
      <c r="B103" s="583"/>
      <c r="C103" s="522" t="s">
        <v>470</v>
      </c>
      <c r="D103" s="313"/>
      <c r="E103" s="314">
        <f>E102*E43/1000</f>
        <v>12.48923913933859</v>
      </c>
      <c r="F103" s="315" t="s">
        <v>56</v>
      </c>
      <c r="G103" s="492">
        <f>G102*G43/1000</f>
        <v>12.48923913933859</v>
      </c>
      <c r="H103" s="413">
        <f t="shared" si="1"/>
        <v>0</v>
      </c>
      <c r="I103" s="46"/>
      <c r="J103" s="47"/>
      <c r="K103" s="47"/>
    </row>
    <row r="104" spans="1:11" x14ac:dyDescent="0.2">
      <c r="A104" s="316"/>
      <c r="B104" s="583"/>
      <c r="C104" s="306" t="s">
        <v>471</v>
      </c>
      <c r="D104" s="312" t="str">
        <f>D49</f>
        <v>Clorela</v>
      </c>
      <c r="E104" s="198">
        <f>E49*E50*E101</f>
        <v>1.7824</v>
      </c>
      <c r="F104" s="111" t="s">
        <v>92</v>
      </c>
      <c r="G104" s="198">
        <f>G49*G50*G101</f>
        <v>1.7824</v>
      </c>
      <c r="H104" s="413">
        <f t="shared" si="1"/>
        <v>0</v>
      </c>
      <c r="I104" s="46"/>
      <c r="J104" s="47"/>
      <c r="K104" s="47"/>
    </row>
    <row r="105" spans="1:11" x14ac:dyDescent="0.2">
      <c r="A105" s="316"/>
      <c r="B105" s="583"/>
      <c r="C105" s="306" t="s">
        <v>472</v>
      </c>
      <c r="D105" s="312"/>
      <c r="E105" s="198">
        <f>E104*E94</f>
        <v>14.2592</v>
      </c>
      <c r="F105" s="111" t="s">
        <v>38</v>
      </c>
      <c r="G105" s="198">
        <f>G104*G94</f>
        <v>14.2592</v>
      </c>
      <c r="H105" s="413">
        <f t="shared" si="1"/>
        <v>0</v>
      </c>
      <c r="I105" s="46"/>
      <c r="J105" s="47"/>
      <c r="K105" s="47"/>
    </row>
    <row r="106" spans="1:11" ht="15.75" customHeight="1" x14ac:dyDescent="0.35">
      <c r="A106" s="316"/>
      <c r="B106" s="583"/>
      <c r="C106" s="508" t="s">
        <v>253</v>
      </c>
      <c r="D106" s="38">
        <f>E106/E100</f>
        <v>0.26058164413444018</v>
      </c>
      <c r="E106" s="42">
        <f>E105*E43/1000</f>
        <v>15.986226098353395</v>
      </c>
      <c r="F106" s="31" t="s">
        <v>56</v>
      </c>
      <c r="G106" s="198">
        <f>G105*G43/1000</f>
        <v>15.986226098353395</v>
      </c>
      <c r="H106" s="413">
        <f t="shared" si="1"/>
        <v>0</v>
      </c>
      <c r="I106" s="46"/>
      <c r="J106" s="47"/>
      <c r="K106" s="47"/>
    </row>
    <row r="107" spans="1:11" x14ac:dyDescent="0.2">
      <c r="A107" s="316"/>
      <c r="B107" s="583"/>
      <c r="C107" s="508" t="s">
        <v>81</v>
      </c>
      <c r="D107" s="38">
        <f>E107/E100</f>
        <v>0.73941835586555982</v>
      </c>
      <c r="E107" s="222">
        <f>E100-E106</f>
        <v>45.362017180462232</v>
      </c>
      <c r="F107" s="31" t="s">
        <v>56</v>
      </c>
      <c r="G107" s="219">
        <f>G100-G106</f>
        <v>45.362017180462232</v>
      </c>
      <c r="H107" s="413">
        <f t="shared" si="1"/>
        <v>0</v>
      </c>
      <c r="I107" s="46"/>
      <c r="J107" s="47"/>
      <c r="K107" s="47"/>
    </row>
    <row r="108" spans="1:11" x14ac:dyDescent="0.2">
      <c r="A108" s="316"/>
      <c r="B108" s="580"/>
      <c r="C108" s="523" t="s">
        <v>82</v>
      </c>
      <c r="D108" s="215"/>
      <c r="E108" s="216">
        <f>'[1]Parab '!$G$72</f>
        <v>0.3256</v>
      </c>
      <c r="F108" s="217"/>
      <c r="G108" s="244">
        <f>'[1]Parab '!$G$72</f>
        <v>0.3256</v>
      </c>
      <c r="H108" s="413">
        <f t="shared" si="1"/>
        <v>0</v>
      </c>
      <c r="I108" s="46"/>
      <c r="J108" s="47"/>
      <c r="K108" s="47"/>
    </row>
    <row r="109" spans="1:11" x14ac:dyDescent="0.2">
      <c r="A109" s="316"/>
      <c r="B109" s="580"/>
      <c r="C109" s="524" t="s">
        <v>86</v>
      </c>
      <c r="D109" s="178"/>
      <c r="E109" s="220">
        <f>E107/E108</f>
        <v>139.31823458372921</v>
      </c>
      <c r="F109" s="179" t="s">
        <v>56</v>
      </c>
      <c r="G109" s="654">
        <f>G107/G108</f>
        <v>139.31823458372921</v>
      </c>
      <c r="H109" s="413">
        <f t="shared" si="1"/>
        <v>0</v>
      </c>
      <c r="I109" s="46"/>
      <c r="J109" s="47"/>
      <c r="K109" s="47"/>
    </row>
    <row r="110" spans="1:11" x14ac:dyDescent="0.2">
      <c r="A110" s="316"/>
      <c r="B110" s="585"/>
      <c r="C110" s="525"/>
      <c r="D110" s="180"/>
      <c r="E110" s="221">
        <f>E109*365/1000</f>
        <v>50.85115562306116</v>
      </c>
      <c r="F110" s="181" t="s">
        <v>83</v>
      </c>
      <c r="G110" s="342">
        <f>G109*365/1000</f>
        <v>50.85115562306116</v>
      </c>
      <c r="H110" s="413">
        <f t="shared" si="1"/>
        <v>0</v>
      </c>
      <c r="I110" s="46"/>
      <c r="J110" s="47"/>
      <c r="K110" s="47"/>
    </row>
    <row r="111" spans="1:11" x14ac:dyDescent="0.2">
      <c r="A111" s="316"/>
      <c r="B111" s="583" t="s">
        <v>508</v>
      </c>
      <c r="C111" s="526" t="s">
        <v>254</v>
      </c>
      <c r="D111" s="290"/>
      <c r="E111" s="291">
        <v>100</v>
      </c>
      <c r="F111" s="292" t="s">
        <v>75</v>
      </c>
      <c r="G111" s="289">
        <v>100</v>
      </c>
      <c r="H111" s="413">
        <f t="shared" si="1"/>
        <v>0</v>
      </c>
      <c r="I111" s="46"/>
      <c r="J111" s="47"/>
      <c r="K111" s="47"/>
    </row>
    <row r="112" spans="1:11" x14ac:dyDescent="0.2">
      <c r="A112" s="316"/>
      <c r="B112" s="583" t="s">
        <v>508</v>
      </c>
      <c r="C112" s="526" t="s">
        <v>256</v>
      </c>
      <c r="D112" s="290"/>
      <c r="E112" s="291">
        <v>17</v>
      </c>
      <c r="F112" s="292" t="s">
        <v>75</v>
      </c>
      <c r="G112" s="289">
        <v>17</v>
      </c>
      <c r="H112" s="413">
        <f t="shared" si="1"/>
        <v>0</v>
      </c>
      <c r="I112" s="46"/>
      <c r="J112" s="47"/>
      <c r="K112" s="47"/>
    </row>
    <row r="113" spans="1:11" x14ac:dyDescent="0.2">
      <c r="A113" s="316"/>
      <c r="B113" s="585"/>
      <c r="C113" s="527" t="s">
        <v>255</v>
      </c>
      <c r="D113" s="197"/>
      <c r="E113" s="289">
        <f>E111+E112</f>
        <v>117</v>
      </c>
      <c r="F113" s="111" t="s">
        <v>75</v>
      </c>
      <c r="G113" s="289">
        <f>G111+G112</f>
        <v>117</v>
      </c>
      <c r="H113" s="413">
        <f t="shared" si="1"/>
        <v>0</v>
      </c>
      <c r="I113" s="46"/>
      <c r="J113" s="47"/>
      <c r="K113" s="47"/>
    </row>
    <row r="114" spans="1:11" x14ac:dyDescent="0.2">
      <c r="A114" s="316"/>
      <c r="B114" s="585"/>
      <c r="C114" s="399" t="s">
        <v>84</v>
      </c>
      <c r="D114" s="183"/>
      <c r="E114" s="184">
        <f>E110/E113</f>
        <v>0.43462526173556548</v>
      </c>
      <c r="F114" s="185" t="s">
        <v>85</v>
      </c>
      <c r="G114" s="224">
        <f>G110/G113</f>
        <v>0.43462526173556548</v>
      </c>
      <c r="H114" s="413">
        <f t="shared" si="1"/>
        <v>0</v>
      </c>
      <c r="K114" s="47"/>
    </row>
    <row r="115" spans="1:11" x14ac:dyDescent="0.2">
      <c r="A115" s="316"/>
      <c r="B115" s="585"/>
      <c r="C115" s="528" t="s">
        <v>344</v>
      </c>
      <c r="D115" s="352"/>
      <c r="E115" s="353">
        <v>1000</v>
      </c>
      <c r="F115" s="354" t="s">
        <v>345</v>
      </c>
      <c r="G115" s="493">
        <v>1000</v>
      </c>
      <c r="H115" s="413">
        <f t="shared" si="1"/>
        <v>0</v>
      </c>
      <c r="K115" s="47"/>
    </row>
    <row r="116" spans="1:11" x14ac:dyDescent="0.2">
      <c r="A116" s="316"/>
      <c r="B116" s="585"/>
      <c r="C116" s="508" t="s">
        <v>350</v>
      </c>
      <c r="D116" s="38"/>
      <c r="E116" s="42">
        <f>E109/E115</f>
        <v>0.13931823458372922</v>
      </c>
      <c r="F116" s="31" t="s">
        <v>346</v>
      </c>
      <c r="G116" s="198">
        <f>G109/G115</f>
        <v>0.13931823458372922</v>
      </c>
      <c r="H116" s="413">
        <f t="shared" si="1"/>
        <v>0</v>
      </c>
      <c r="K116" s="47"/>
    </row>
    <row r="117" spans="1:11" x14ac:dyDescent="0.2">
      <c r="A117" s="316"/>
      <c r="B117" s="585"/>
      <c r="C117" s="528" t="s">
        <v>347</v>
      </c>
      <c r="D117" s="352"/>
      <c r="E117" s="356">
        <v>5</v>
      </c>
      <c r="F117" s="354" t="s">
        <v>32</v>
      </c>
      <c r="G117" s="494">
        <v>5</v>
      </c>
      <c r="H117" s="413">
        <f t="shared" si="1"/>
        <v>0</v>
      </c>
      <c r="K117" s="47"/>
    </row>
    <row r="118" spans="1:11" x14ac:dyDescent="0.2">
      <c r="A118" s="316"/>
      <c r="B118" s="585"/>
      <c r="C118" s="508" t="s">
        <v>348</v>
      </c>
      <c r="D118" s="355"/>
      <c r="E118" s="357">
        <f>365*E116*E117*0.67</f>
        <v>170.35137133725493</v>
      </c>
      <c r="F118" s="31" t="s">
        <v>349</v>
      </c>
      <c r="G118" s="196">
        <f>365*G116*G117*0.67</f>
        <v>170.35137133725493</v>
      </c>
      <c r="H118" s="413">
        <f t="shared" si="1"/>
        <v>0</v>
      </c>
      <c r="K118" s="47"/>
    </row>
    <row r="119" spans="1:11" ht="15" x14ac:dyDescent="0.25">
      <c r="A119" s="316"/>
      <c r="B119" s="578"/>
      <c r="C119" s="17" t="s">
        <v>218</v>
      </c>
      <c r="D119" s="26"/>
      <c r="E119" s="2"/>
      <c r="F119" s="14"/>
      <c r="G119" s="113"/>
      <c r="H119" s="335"/>
    </row>
    <row r="120" spans="1:11" x14ac:dyDescent="0.2">
      <c r="A120" s="316"/>
      <c r="B120" s="581" t="s">
        <v>332</v>
      </c>
      <c r="C120" s="517" t="s">
        <v>216</v>
      </c>
      <c r="D120" s="56"/>
      <c r="E120" s="59">
        <f>E82</f>
        <v>5190.8259790886186</v>
      </c>
      <c r="F120" s="34" t="s">
        <v>33</v>
      </c>
      <c r="G120" s="451">
        <f>G82</f>
        <v>5190.8259790886186</v>
      </c>
      <c r="H120" s="413">
        <f t="shared" si="1"/>
        <v>0</v>
      </c>
    </row>
    <row r="121" spans="1:11" x14ac:dyDescent="0.2">
      <c r="A121" s="316"/>
      <c r="B121" s="578" t="s">
        <v>342</v>
      </c>
      <c r="C121" s="517" t="s">
        <v>312</v>
      </c>
      <c r="D121" s="56"/>
      <c r="E121" s="59">
        <f>E84*'Parrilla de Aireación '!E93*24*365</f>
        <v>4736.0751239649426</v>
      </c>
      <c r="F121" s="34" t="s">
        <v>33</v>
      </c>
      <c r="G121" s="451">
        <f>G84*'Parrilla de Aireación '!G93*24*365</f>
        <v>4736.0751239649426</v>
      </c>
      <c r="H121" s="413">
        <f t="shared" si="1"/>
        <v>0</v>
      </c>
    </row>
    <row r="122" spans="1:11" x14ac:dyDescent="0.2">
      <c r="A122" s="316"/>
      <c r="B122" s="578" t="s">
        <v>342</v>
      </c>
      <c r="C122" s="517" t="s">
        <v>211</v>
      </c>
      <c r="D122" s="56"/>
      <c r="E122" s="59">
        <f>E92*'Parrilla de Aireación '!E57*24*365</f>
        <v>8643.4428791619102</v>
      </c>
      <c r="F122" s="34" t="s">
        <v>33</v>
      </c>
      <c r="G122" s="451">
        <f>G92*'Parrilla de Aireación '!G57*24*365</f>
        <v>8643.4428791619102</v>
      </c>
      <c r="H122" s="413">
        <f t="shared" si="1"/>
        <v>0</v>
      </c>
    </row>
    <row r="123" spans="1:11" x14ac:dyDescent="0.2">
      <c r="A123" s="316"/>
      <c r="B123" s="578"/>
      <c r="C123" s="506" t="s">
        <v>63</v>
      </c>
      <c r="D123" s="75"/>
      <c r="E123" s="76">
        <f>SUM(E118:E122)</f>
        <v>18740.695353552728</v>
      </c>
      <c r="F123" s="70" t="s">
        <v>33</v>
      </c>
      <c r="G123" s="196">
        <f>SUM(G118:G122)</f>
        <v>18740.695353552728</v>
      </c>
      <c r="H123" s="413">
        <f t="shared" si="1"/>
        <v>0</v>
      </c>
    </row>
    <row r="124" spans="1:11" x14ac:dyDescent="0.2">
      <c r="A124" s="316"/>
      <c r="B124" s="578"/>
      <c r="C124" s="529" t="s">
        <v>219</v>
      </c>
      <c r="D124" s="270"/>
      <c r="E124" s="317">
        <f>E123/(E14*86.4*365)</f>
        <v>8.4894793041751487E-2</v>
      </c>
      <c r="F124" s="271" t="s">
        <v>43</v>
      </c>
      <c r="G124" s="495">
        <f>G123/(G14*86.4*365)</f>
        <v>8.4894793041751487E-2</v>
      </c>
      <c r="H124" s="413">
        <f t="shared" si="1"/>
        <v>0</v>
      </c>
    </row>
    <row r="125" spans="1:11" ht="15" x14ac:dyDescent="0.25">
      <c r="A125" s="316"/>
      <c r="B125" s="578"/>
      <c r="C125" s="17" t="s">
        <v>220</v>
      </c>
      <c r="D125" s="191"/>
      <c r="E125" s="192"/>
      <c r="F125" s="14"/>
      <c r="G125" s="113"/>
      <c r="H125" s="335"/>
    </row>
    <row r="126" spans="1:11" x14ac:dyDescent="0.2">
      <c r="A126" s="316"/>
      <c r="B126" s="581" t="s">
        <v>194</v>
      </c>
      <c r="C126" s="502" t="s">
        <v>64</v>
      </c>
      <c r="D126" s="210"/>
      <c r="E126" s="214">
        <v>8.07</v>
      </c>
      <c r="F126" s="212" t="s">
        <v>65</v>
      </c>
      <c r="G126" s="198">
        <v>8.07</v>
      </c>
      <c r="H126" s="413">
        <f t="shared" si="1"/>
        <v>0</v>
      </c>
    </row>
    <row r="127" spans="1:11" x14ac:dyDescent="0.2">
      <c r="A127" s="316"/>
      <c r="B127" s="578"/>
      <c r="C127" s="517" t="s">
        <v>66</v>
      </c>
      <c r="D127" s="79"/>
      <c r="E127" s="51">
        <f>E53*E14*0.0864</f>
        <v>7.0558411475485494</v>
      </c>
      <c r="F127" s="34" t="s">
        <v>56</v>
      </c>
      <c r="G127" s="99">
        <f>G53*G14*0.0864</f>
        <v>7.0558411475485494</v>
      </c>
      <c r="H127" s="413">
        <f t="shared" si="1"/>
        <v>0</v>
      </c>
    </row>
    <row r="128" spans="1:11" x14ac:dyDescent="0.2">
      <c r="A128" s="316"/>
      <c r="B128" s="578"/>
      <c r="C128" s="517" t="s">
        <v>67</v>
      </c>
      <c r="D128" s="79"/>
      <c r="E128" s="51">
        <f>E127*E126</f>
        <v>56.940638060716793</v>
      </c>
      <c r="F128" s="34" t="s">
        <v>56</v>
      </c>
      <c r="G128" s="99">
        <f>G127*G126</f>
        <v>56.940638060716793</v>
      </c>
      <c r="H128" s="413">
        <f t="shared" si="1"/>
        <v>0</v>
      </c>
    </row>
    <row r="129" spans="1:8" ht="27.75" customHeight="1" x14ac:dyDescent="0.2">
      <c r="A129" s="316"/>
      <c r="B129" s="586" t="s">
        <v>343</v>
      </c>
      <c r="C129" s="530" t="s">
        <v>68</v>
      </c>
      <c r="D129" s="346"/>
      <c r="E129" s="347">
        <v>1.44</v>
      </c>
      <c r="F129" s="348" t="s">
        <v>69</v>
      </c>
      <c r="G129" s="413">
        <v>1.44</v>
      </c>
      <c r="H129" s="335">
        <f t="shared" si="1"/>
        <v>0</v>
      </c>
    </row>
    <row r="130" spans="1:8" x14ac:dyDescent="0.2">
      <c r="A130" s="316"/>
      <c r="B130" s="578"/>
      <c r="C130" s="649" t="s">
        <v>210</v>
      </c>
      <c r="D130" s="650"/>
      <c r="E130" s="650">
        <f>E128/E129</f>
        <v>39.542109764386666</v>
      </c>
      <c r="F130" s="651" t="s">
        <v>56</v>
      </c>
      <c r="G130" s="198">
        <f>G128/G129</f>
        <v>39.542109764386666</v>
      </c>
      <c r="H130" s="413">
        <f t="shared" si="1"/>
        <v>0</v>
      </c>
    </row>
    <row r="131" spans="1:8" x14ac:dyDescent="0.2">
      <c r="A131" s="316"/>
      <c r="B131" s="578"/>
      <c r="C131" s="652"/>
      <c r="D131" s="647"/>
      <c r="E131" s="647">
        <f>E130*365/1000</f>
        <v>14.432870064001134</v>
      </c>
      <c r="F131" s="653" t="s">
        <v>83</v>
      </c>
      <c r="G131" s="198">
        <f>G130*365/1000</f>
        <v>14.432870064001134</v>
      </c>
      <c r="H131" s="413">
        <f t="shared" si="1"/>
        <v>0</v>
      </c>
    </row>
    <row r="133" spans="1:8" x14ac:dyDescent="0.2">
      <c r="E133" s="416"/>
    </row>
    <row r="134" spans="1:8" ht="15.75" x14ac:dyDescent="0.25">
      <c r="C134" s="718" t="s">
        <v>392</v>
      </c>
      <c r="D134" s="719"/>
      <c r="E134"/>
      <c r="F134"/>
    </row>
    <row r="135" spans="1:8" ht="15" customHeight="1" x14ac:dyDescent="0.25">
      <c r="C135" s="712" t="s">
        <v>402</v>
      </c>
      <c r="D135" s="715"/>
      <c r="E135" s="713"/>
      <c r="F135" s="713"/>
    </row>
    <row r="136" spans="1:8" ht="15" customHeight="1" x14ac:dyDescent="0.25">
      <c r="C136" s="712" t="s">
        <v>403</v>
      </c>
      <c r="D136" s="715"/>
      <c r="E136" s="713"/>
      <c r="F136" s="713"/>
    </row>
    <row r="137" spans="1:8" ht="15" customHeight="1" x14ac:dyDescent="0.25">
      <c r="C137" s="712" t="s">
        <v>404</v>
      </c>
      <c r="D137" s="714"/>
      <c r="E137" s="714"/>
      <c r="F137" s="714"/>
    </row>
    <row r="138" spans="1:8" ht="15" customHeight="1" x14ac:dyDescent="0.25">
      <c r="C138" s="712" t="s">
        <v>405</v>
      </c>
      <c r="D138" s="715"/>
      <c r="E138" s="713"/>
      <c r="F138" s="713"/>
    </row>
    <row r="139" spans="1:8" ht="15" customHeight="1" x14ac:dyDescent="0.25">
      <c r="C139" s="712" t="s">
        <v>393</v>
      </c>
      <c r="D139" s="715"/>
      <c r="E139" s="713"/>
      <c r="F139" s="713"/>
    </row>
    <row r="140" spans="1:8" ht="15" x14ac:dyDescent="0.25">
      <c r="C140" s="712" t="s">
        <v>426</v>
      </c>
      <c r="D140" s="713"/>
      <c r="E140" s="713"/>
      <c r="F140" s="713"/>
    </row>
    <row r="141" spans="1:8" ht="15" customHeight="1" x14ac:dyDescent="0.25">
      <c r="C141" s="712" t="s">
        <v>394</v>
      </c>
      <c r="D141" s="713"/>
      <c r="E141" s="713"/>
      <c r="F141" s="713"/>
    </row>
    <row r="142" spans="1:8" ht="15" customHeight="1" x14ac:dyDescent="0.25">
      <c r="C142" s="712" t="s">
        <v>406</v>
      </c>
      <c r="D142" s="713"/>
      <c r="E142" s="713"/>
      <c r="F142" s="713"/>
    </row>
    <row r="143" spans="1:8" ht="14.25" customHeight="1" x14ac:dyDescent="0.25">
      <c r="C143" s="712" t="s">
        <v>407</v>
      </c>
      <c r="D143" s="713"/>
      <c r="E143" s="713"/>
      <c r="F143" s="713"/>
    </row>
    <row r="144" spans="1:8" ht="15" customHeight="1" x14ac:dyDescent="0.25">
      <c r="C144" s="712" t="s">
        <v>408</v>
      </c>
      <c r="D144" s="713"/>
      <c r="E144" s="713"/>
      <c r="F144" s="713"/>
    </row>
    <row r="145" spans="3:6" ht="15" customHeight="1" x14ac:dyDescent="0.25">
      <c r="C145" s="712" t="s">
        <v>409</v>
      </c>
      <c r="D145" s="713"/>
      <c r="E145" s="713"/>
      <c r="F145" s="713"/>
    </row>
    <row r="146" spans="3:6" ht="15" customHeight="1" x14ac:dyDescent="0.25">
      <c r="C146" s="712" t="s">
        <v>427</v>
      </c>
      <c r="D146" s="713"/>
      <c r="E146" s="713"/>
      <c r="F146" s="713"/>
    </row>
    <row r="147" spans="3:6" ht="15" customHeight="1" x14ac:dyDescent="0.25">
      <c r="C147" s="712" t="s">
        <v>410</v>
      </c>
      <c r="D147" s="713"/>
      <c r="E147" s="713"/>
      <c r="F147" s="713"/>
    </row>
    <row r="148" spans="3:6" ht="15" customHeight="1" x14ac:dyDescent="0.25">
      <c r="C148" s="712" t="s">
        <v>411</v>
      </c>
      <c r="D148" s="713"/>
      <c r="E148" s="713"/>
      <c r="F148" s="713"/>
    </row>
    <row r="149" spans="3:6" ht="15" customHeight="1" x14ac:dyDescent="0.25">
      <c r="C149" s="712" t="s">
        <v>395</v>
      </c>
      <c r="D149" s="714"/>
      <c r="E149" s="714"/>
      <c r="F149" s="714"/>
    </row>
    <row r="150" spans="3:6" ht="15" customHeight="1" x14ac:dyDescent="0.2">
      <c r="C150" s="706" t="s">
        <v>396</v>
      </c>
      <c r="D150" s="706"/>
      <c r="E150" s="706"/>
      <c r="F150" s="706"/>
    </row>
    <row r="151" spans="3:6" ht="15" customHeight="1" x14ac:dyDescent="0.25">
      <c r="C151" s="706" t="s">
        <v>397</v>
      </c>
      <c r="D151" s="720"/>
      <c r="E151" s="720"/>
      <c r="F151" s="720"/>
    </row>
    <row r="152" spans="3:6" ht="15" customHeight="1" x14ac:dyDescent="0.25">
      <c r="C152" s="706" t="s">
        <v>412</v>
      </c>
      <c r="D152" s="707"/>
      <c r="E152" s="708"/>
      <c r="F152" s="708"/>
    </row>
    <row r="153" spans="3:6" ht="15" customHeight="1" x14ac:dyDescent="0.25">
      <c r="C153" s="706" t="s">
        <v>413</v>
      </c>
      <c r="D153" s="707"/>
      <c r="E153" s="708"/>
      <c r="F153" s="708"/>
    </row>
    <row r="154" spans="3:6" ht="15" customHeight="1" x14ac:dyDescent="0.25">
      <c r="C154" s="706" t="s">
        <v>414</v>
      </c>
      <c r="D154" s="713"/>
      <c r="E154" s="713"/>
      <c r="F154" s="713"/>
    </row>
    <row r="155" spans="3:6" ht="15" customHeight="1" x14ac:dyDescent="0.25">
      <c r="C155" s="706" t="s">
        <v>398</v>
      </c>
      <c r="D155" s="708"/>
      <c r="E155" s="708"/>
      <c r="F155" s="708"/>
    </row>
    <row r="156" spans="3:6" ht="15" x14ac:dyDescent="0.25">
      <c r="C156" s="706" t="s">
        <v>415</v>
      </c>
      <c r="D156" s="707"/>
      <c r="E156" s="708"/>
      <c r="F156" s="708"/>
    </row>
  </sheetData>
  <mergeCells count="27">
    <mergeCell ref="B46:B47"/>
    <mergeCell ref="C134:D134"/>
    <mergeCell ref="C153:F153"/>
    <mergeCell ref="C154:F154"/>
    <mergeCell ref="C155:F155"/>
    <mergeCell ref="C135:F135"/>
    <mergeCell ref="C140:F140"/>
    <mergeCell ref="C150:F150"/>
    <mergeCell ref="C151:F151"/>
    <mergeCell ref="C152:F152"/>
    <mergeCell ref="C136:F136"/>
    <mergeCell ref="D46:D47"/>
    <mergeCell ref="C156:F156"/>
    <mergeCell ref="C12:F12"/>
    <mergeCell ref="C46:C47"/>
    <mergeCell ref="C148:F148"/>
    <mergeCell ref="C149:F149"/>
    <mergeCell ref="C143:F143"/>
    <mergeCell ref="C144:F144"/>
    <mergeCell ref="C145:F145"/>
    <mergeCell ref="C146:F146"/>
    <mergeCell ref="C147:F147"/>
    <mergeCell ref="C137:F137"/>
    <mergeCell ref="C138:F138"/>
    <mergeCell ref="C139:F139"/>
    <mergeCell ref="C141:F141"/>
    <mergeCell ref="C142:F14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ABAC-510E-4DB8-9466-86D32F3F2E92}">
  <dimension ref="A1:M56"/>
  <sheetViews>
    <sheetView showGridLines="0" zoomScale="75" zoomScaleNormal="75" workbookViewId="0">
      <selection activeCell="J30" sqref="J30"/>
    </sheetView>
  </sheetViews>
  <sheetFormatPr baseColWidth="10" defaultRowHeight="15" x14ac:dyDescent="0.25"/>
  <cols>
    <col min="1" max="1" width="28.7109375" customWidth="1"/>
    <col min="2" max="2" width="25.140625" customWidth="1"/>
    <col min="3" max="3" width="11.5703125" customWidth="1"/>
    <col min="4" max="4" width="16.85546875" customWidth="1"/>
    <col min="5" max="5" width="13.85546875" customWidth="1"/>
    <col min="6" max="6" width="9.85546875" customWidth="1"/>
    <col min="7" max="7" width="13.140625" customWidth="1"/>
    <col min="8" max="8" width="14.42578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2.25" customHeight="1" x14ac:dyDescent="0.25">
      <c r="A1" s="417" t="s">
        <v>113</v>
      </c>
      <c r="B1" s="345"/>
      <c r="C1" s="334"/>
      <c r="D1" s="334"/>
      <c r="E1" s="334"/>
      <c r="F1" s="351"/>
      <c r="G1" s="418" t="s">
        <v>390</v>
      </c>
      <c r="H1" s="415" t="s">
        <v>391</v>
      </c>
    </row>
    <row r="2" spans="1:8" ht="24.75" customHeight="1" x14ac:dyDescent="0.25">
      <c r="A2" s="102"/>
      <c r="B2" s="419" t="s">
        <v>284</v>
      </c>
      <c r="C2" s="420"/>
      <c r="D2" s="421" t="s">
        <v>285</v>
      </c>
      <c r="E2" s="422">
        <f>E13+E21</f>
        <v>0.37506129115913822</v>
      </c>
      <c r="F2" s="423" t="s">
        <v>11</v>
      </c>
      <c r="G2" s="424">
        <f>G13+G21</f>
        <v>0.37506129115913822</v>
      </c>
      <c r="H2" s="413">
        <f t="shared" ref="H2:H21" si="0">G2-E2</f>
        <v>0</v>
      </c>
    </row>
    <row r="3" spans="1:8" x14ac:dyDescent="0.25">
      <c r="A3" s="102"/>
      <c r="B3" s="430" t="s">
        <v>189</v>
      </c>
      <c r="C3" s="123"/>
      <c r="D3" s="431"/>
      <c r="E3" s="432"/>
      <c r="G3" s="441"/>
      <c r="H3" s="351"/>
    </row>
    <row r="4" spans="1:8" ht="18.75" x14ac:dyDescent="0.35">
      <c r="A4" s="345"/>
      <c r="B4" s="113" t="s">
        <v>101</v>
      </c>
      <c r="C4" s="12" t="s">
        <v>102</v>
      </c>
      <c r="D4" s="12" t="s">
        <v>105</v>
      </c>
      <c r="E4" s="343">
        <v>150</v>
      </c>
      <c r="F4" s="425"/>
      <c r="G4" s="435">
        <v>150</v>
      </c>
      <c r="H4" s="413">
        <f t="shared" si="0"/>
        <v>0</v>
      </c>
    </row>
    <row r="5" spans="1:8" x14ac:dyDescent="0.25">
      <c r="A5" s="349" t="s">
        <v>342</v>
      </c>
      <c r="B5" s="243" t="s">
        <v>188</v>
      </c>
      <c r="C5" s="8"/>
      <c r="D5" s="334"/>
      <c r="E5" s="340">
        <f>'Parrilla de Aireación '!E38</f>
        <v>9.0753845259310992</v>
      </c>
      <c r="F5" s="306" t="s">
        <v>8</v>
      </c>
      <c r="G5" s="436">
        <f>'Parrilla de Aireación '!G38</f>
        <v>9.0753845259310992</v>
      </c>
      <c r="H5" s="413">
        <f t="shared" si="0"/>
        <v>0</v>
      </c>
    </row>
    <row r="6" spans="1:8" x14ac:dyDescent="0.25">
      <c r="A6" s="581" t="s">
        <v>319</v>
      </c>
      <c r="B6" s="533" t="s">
        <v>23</v>
      </c>
      <c r="C6" s="534"/>
      <c r="D6" s="535"/>
      <c r="E6" s="536">
        <f>0.55+0.7+2</f>
        <v>3.25</v>
      </c>
      <c r="F6" s="537" t="s">
        <v>4</v>
      </c>
      <c r="G6" s="437">
        <f>0.55+0.7+2</f>
        <v>3.25</v>
      </c>
      <c r="H6" s="413">
        <f t="shared" si="0"/>
        <v>0</v>
      </c>
    </row>
    <row r="7" spans="1:8" x14ac:dyDescent="0.25">
      <c r="A7" s="345"/>
      <c r="B7" s="538" t="s">
        <v>99</v>
      </c>
      <c r="C7" s="534"/>
      <c r="D7" s="535"/>
      <c r="E7" s="536">
        <v>4</v>
      </c>
      <c r="F7" s="520" t="s">
        <v>9</v>
      </c>
      <c r="G7" s="437">
        <v>4</v>
      </c>
      <c r="H7" s="413">
        <f t="shared" si="0"/>
        <v>0</v>
      </c>
    </row>
    <row r="8" spans="1:8" x14ac:dyDescent="0.25">
      <c r="A8" s="345"/>
      <c r="B8" s="341" t="s">
        <v>100</v>
      </c>
      <c r="C8" s="151"/>
      <c r="D8" s="334"/>
      <c r="E8" s="293">
        <f>0.001*E5/(0.25*3.14*(0.0254*E7)^2)</f>
        <v>1.1199740564443872</v>
      </c>
      <c r="F8" s="12" t="s">
        <v>2</v>
      </c>
      <c r="G8" s="438">
        <f>0.001*G5/(0.25*3.14*(0.0254*G7)^2)</f>
        <v>1.1199740564443872</v>
      </c>
      <c r="H8" s="413">
        <f t="shared" si="0"/>
        <v>0</v>
      </c>
    </row>
    <row r="9" spans="1:8" x14ac:dyDescent="0.25">
      <c r="A9" s="349" t="s">
        <v>335</v>
      </c>
      <c r="B9" s="344" t="s">
        <v>24</v>
      </c>
      <c r="C9" s="318"/>
      <c r="D9" s="334"/>
      <c r="E9" s="255">
        <f>(10.672*E6*(0.001*E5/E4)^1.852)/(0.0254*E7)^4.871</f>
        <v>3.6761646930086496E-2</v>
      </c>
      <c r="F9" s="426" t="s">
        <v>11</v>
      </c>
      <c r="G9" s="439">
        <f>(10.672*G6*(0.001*G5/G4)^1.852)/(0.0254*G7)^4.871</f>
        <v>3.6761646930086496E-2</v>
      </c>
      <c r="H9" s="413">
        <f t="shared" si="0"/>
        <v>0</v>
      </c>
    </row>
    <row r="10" spans="1:8" x14ac:dyDescent="0.25">
      <c r="A10" s="345"/>
      <c r="B10" s="341" t="s">
        <v>10</v>
      </c>
      <c r="C10" s="151"/>
      <c r="E10" s="293">
        <f>E8^2/19.6</f>
        <v>6.3997035056555893E-2</v>
      </c>
      <c r="F10" s="12" t="s">
        <v>11</v>
      </c>
      <c r="G10" s="438">
        <f>G8^2/19.6</f>
        <v>6.3997035056555893E-2</v>
      </c>
      <c r="H10" s="413">
        <f t="shared" si="0"/>
        <v>0</v>
      </c>
    </row>
    <row r="11" spans="1:8" x14ac:dyDescent="0.25">
      <c r="A11" s="345"/>
      <c r="B11" s="350" t="s">
        <v>34</v>
      </c>
      <c r="C11" s="427" t="s">
        <v>103</v>
      </c>
      <c r="D11" s="427" t="s">
        <v>104</v>
      </c>
      <c r="E11" s="428" t="s">
        <v>399</v>
      </c>
      <c r="F11" s="12"/>
      <c r="G11" s="440" t="s">
        <v>399</v>
      </c>
      <c r="H11" s="413"/>
    </row>
    <row r="12" spans="1:8" x14ac:dyDescent="0.25">
      <c r="A12" s="349" t="s">
        <v>336</v>
      </c>
      <c r="B12" s="158" t="s">
        <v>286</v>
      </c>
      <c r="C12" s="100">
        <v>0.8</v>
      </c>
      <c r="D12" s="100">
        <v>3</v>
      </c>
      <c r="E12" s="429">
        <f>C12*D12*E10</f>
        <v>0.15359288413573416</v>
      </c>
      <c r="F12" s="12" t="s">
        <v>11</v>
      </c>
      <c r="G12" s="439">
        <f>C12*D12*$G$10</f>
        <v>0.15359288413573416</v>
      </c>
      <c r="H12" s="413">
        <f t="shared" si="0"/>
        <v>0</v>
      </c>
    </row>
    <row r="13" spans="1:8" x14ac:dyDescent="0.25">
      <c r="A13" s="349"/>
      <c r="B13" s="158" t="s">
        <v>174</v>
      </c>
      <c r="C13" s="100"/>
      <c r="D13" s="100"/>
      <c r="E13" s="429">
        <f>E9+E12</f>
        <v>0.19035453106582065</v>
      </c>
      <c r="F13" s="12" t="s">
        <v>11</v>
      </c>
      <c r="G13" s="439">
        <f>G9+G12</f>
        <v>0.19035453106582065</v>
      </c>
      <c r="H13" s="413">
        <f t="shared" si="0"/>
        <v>0</v>
      </c>
    </row>
    <row r="14" spans="1:8" ht="26.25" customHeight="1" x14ac:dyDescent="0.25">
      <c r="A14" s="345"/>
      <c r="B14" s="430" t="s">
        <v>283</v>
      </c>
      <c r="C14" s="123"/>
      <c r="D14" s="431"/>
      <c r="E14" s="432"/>
      <c r="F14" s="433"/>
      <c r="G14" s="441"/>
      <c r="H14" s="351"/>
    </row>
    <row r="15" spans="1:8" ht="18.75" x14ac:dyDescent="0.35">
      <c r="A15" s="345"/>
      <c r="B15" s="113" t="s">
        <v>101</v>
      </c>
      <c r="C15" s="12" t="s">
        <v>102</v>
      </c>
      <c r="D15" s="12" t="s">
        <v>158</v>
      </c>
      <c r="E15" s="343">
        <v>150</v>
      </c>
      <c r="F15" s="425"/>
      <c r="G15" s="435">
        <v>150</v>
      </c>
      <c r="H15" s="413">
        <f t="shared" si="0"/>
        <v>0</v>
      </c>
    </row>
    <row r="16" spans="1:8" x14ac:dyDescent="0.25">
      <c r="A16" s="102"/>
      <c r="B16" s="243" t="s">
        <v>282</v>
      </c>
      <c r="C16" s="8"/>
      <c r="D16" s="334"/>
      <c r="E16" s="340">
        <f>E5</f>
        <v>9.0753845259310992</v>
      </c>
      <c r="F16" s="306" t="s">
        <v>8</v>
      </c>
      <c r="G16" s="436">
        <f>G5</f>
        <v>9.0753845259310992</v>
      </c>
      <c r="H16" s="413">
        <f t="shared" si="0"/>
        <v>0</v>
      </c>
    </row>
    <row r="17" spans="1:13" x14ac:dyDescent="0.25">
      <c r="A17" s="336" t="s">
        <v>322</v>
      </c>
      <c r="B17" s="158" t="s">
        <v>163</v>
      </c>
      <c r="C17" s="8"/>
      <c r="D17" s="334"/>
      <c r="E17" s="99">
        <f>'Planta Pincta'!E27</f>
        <v>14.066874148941503</v>
      </c>
      <c r="F17" s="306"/>
      <c r="G17" s="437">
        <f>'Planta Pincta'!G27</f>
        <v>14.066874148941503</v>
      </c>
      <c r="H17" s="413">
        <f t="shared" si="0"/>
        <v>0</v>
      </c>
    </row>
    <row r="18" spans="1:13" x14ac:dyDescent="0.25">
      <c r="A18" s="336" t="s">
        <v>322</v>
      </c>
      <c r="B18" s="13" t="s">
        <v>162</v>
      </c>
      <c r="C18" s="8"/>
      <c r="D18" s="334"/>
      <c r="E18" s="99">
        <f>'Planta Pincta'!E30</f>
        <v>3</v>
      </c>
      <c r="F18" s="338" t="s">
        <v>11</v>
      </c>
      <c r="G18" s="437">
        <f>'Planta Pincta'!G30</f>
        <v>3</v>
      </c>
      <c r="H18" s="413">
        <f t="shared" si="0"/>
        <v>0</v>
      </c>
      <c r="J18" s="44"/>
      <c r="K18" s="44"/>
      <c r="L18" s="154"/>
    </row>
    <row r="19" spans="1:13" x14ac:dyDescent="0.25">
      <c r="A19" s="102"/>
      <c r="B19" s="539" t="s">
        <v>330</v>
      </c>
      <c r="C19" s="540"/>
      <c r="D19" s="535"/>
      <c r="E19" s="541">
        <v>0.2</v>
      </c>
      <c r="F19" s="542" t="s">
        <v>11</v>
      </c>
      <c r="G19" s="438">
        <v>0.2</v>
      </c>
      <c r="H19" s="413">
        <f t="shared" si="0"/>
        <v>0</v>
      </c>
      <c r="J19" s="44"/>
      <c r="K19" s="44"/>
      <c r="L19" s="154"/>
    </row>
    <row r="20" spans="1:13" x14ac:dyDescent="0.25">
      <c r="A20" s="102"/>
      <c r="B20" s="344" t="s">
        <v>307</v>
      </c>
      <c r="C20" s="318"/>
      <c r="D20" s="334"/>
      <c r="E20" s="255">
        <f>E19+(E17-1)*E18</f>
        <v>39.400622446824514</v>
      </c>
      <c r="F20" s="426" t="s">
        <v>11</v>
      </c>
      <c r="G20" s="439">
        <f>G19+(G17-1)*G18</f>
        <v>39.400622446824514</v>
      </c>
      <c r="H20" s="413">
        <f t="shared" si="0"/>
        <v>0</v>
      </c>
      <c r="J20" s="44"/>
      <c r="K20" s="44"/>
      <c r="L20" s="154"/>
    </row>
    <row r="21" spans="1:13" x14ac:dyDescent="0.25">
      <c r="A21" s="102"/>
      <c r="B21" s="341" t="s">
        <v>314</v>
      </c>
      <c r="C21" s="151"/>
      <c r="E21" s="293">
        <f>SUM(E24:E56)</f>
        <v>0.1847067600933176</v>
      </c>
      <c r="F21" s="12" t="s">
        <v>11</v>
      </c>
      <c r="G21" s="438">
        <f>SUM(G24:G56)</f>
        <v>0.1847067600933176</v>
      </c>
      <c r="H21" s="413">
        <f t="shared" si="0"/>
        <v>0</v>
      </c>
      <c r="J21" s="44"/>
      <c r="L21" s="155"/>
      <c r="M21" s="156"/>
    </row>
    <row r="22" spans="1:13" x14ac:dyDescent="0.25">
      <c r="B22" s="133" t="s">
        <v>171</v>
      </c>
      <c r="C22" s="133" t="s">
        <v>289</v>
      </c>
      <c r="D22" s="133" t="s">
        <v>288</v>
      </c>
      <c r="E22" s="133" t="s">
        <v>287</v>
      </c>
      <c r="F22" s="96"/>
      <c r="G22" s="133" t="s">
        <v>287</v>
      </c>
      <c r="J22" s="44"/>
      <c r="K22" s="44"/>
      <c r="L22" s="155"/>
      <c r="M22" s="156"/>
    </row>
    <row r="23" spans="1:13" x14ac:dyDescent="0.25">
      <c r="B23" s="134"/>
      <c r="C23" s="134" t="s">
        <v>9</v>
      </c>
      <c r="D23" s="134" t="s">
        <v>8</v>
      </c>
      <c r="E23" s="134" t="s">
        <v>11</v>
      </c>
      <c r="F23" s="96"/>
      <c r="G23" s="134" t="s">
        <v>11</v>
      </c>
      <c r="J23" s="44"/>
      <c r="K23" s="44"/>
      <c r="L23" s="155"/>
      <c r="M23" s="156"/>
    </row>
    <row r="24" spans="1:13" ht="15" customHeight="1" x14ac:dyDescent="0.25">
      <c r="B24" s="137">
        <v>1</v>
      </c>
      <c r="C24" s="137">
        <v>4</v>
      </c>
      <c r="D24" s="135">
        <f>E16</f>
        <v>9.0753845259310992</v>
      </c>
      <c r="E24" s="136">
        <f t="shared" ref="E24:E56" si="1">(10.672*$E$18*(0.001*D24/$E$15)^1.852)/(0.0254*C24)^4.871</f>
        <v>3.3933827935464449E-2</v>
      </c>
      <c r="F24" s="96"/>
      <c r="G24" s="136">
        <f>(10.672*$G$18*(0.001*D24/$G$15)^1.852)/(0.0254*C24)^4.871</f>
        <v>3.3933827935464449E-2</v>
      </c>
      <c r="H24" s="413">
        <f t="shared" ref="H24:H56" si="2">G24-E24</f>
        <v>0</v>
      </c>
      <c r="J24" s="44"/>
      <c r="K24" s="44"/>
      <c r="L24" s="155"/>
      <c r="M24" s="156"/>
    </row>
    <row r="25" spans="1:13" ht="15" customHeight="1" x14ac:dyDescent="0.25">
      <c r="B25" s="137">
        <f>B24+1</f>
        <v>2</v>
      </c>
      <c r="C25" s="137">
        <v>4</v>
      </c>
      <c r="D25" s="135">
        <f t="shared" ref="D25:D56" si="3">MAX(0,D24-$E$16/$E$17)</f>
        <v>8.4302245259310986</v>
      </c>
      <c r="E25" s="136">
        <f t="shared" si="1"/>
        <v>2.9601989363106429E-2</v>
      </c>
      <c r="F25" s="96"/>
      <c r="G25" s="136">
        <f t="shared" ref="G25:G56" si="4">(10.672*$G$18*(0.001*D25/$G$15)^1.852)/(0.0254*C25)^4.871</f>
        <v>2.9601989363106429E-2</v>
      </c>
      <c r="H25" s="413">
        <f t="shared" si="2"/>
        <v>0</v>
      </c>
      <c r="J25" s="44"/>
      <c r="K25" s="44"/>
      <c r="L25" s="155"/>
      <c r="M25" s="156"/>
    </row>
    <row r="26" spans="1:13" ht="15" customHeight="1" x14ac:dyDescent="0.25">
      <c r="B26" s="137">
        <f t="shared" ref="B26:B56" si="5">B25+1</f>
        <v>3</v>
      </c>
      <c r="C26" s="137">
        <v>4</v>
      </c>
      <c r="D26" s="135">
        <f t="shared" si="3"/>
        <v>7.7850645259310989</v>
      </c>
      <c r="E26" s="136">
        <f t="shared" si="1"/>
        <v>2.5543736947242289E-2</v>
      </c>
      <c r="F26" s="96"/>
      <c r="G26" s="136">
        <f t="shared" si="4"/>
        <v>2.5543736947242289E-2</v>
      </c>
      <c r="H26" s="413">
        <f t="shared" si="2"/>
        <v>0</v>
      </c>
      <c r="J26" s="44"/>
      <c r="K26" s="44"/>
      <c r="L26" s="155"/>
      <c r="M26" s="156"/>
    </row>
    <row r="27" spans="1:13" ht="15" customHeight="1" x14ac:dyDescent="0.25">
      <c r="B27" s="137">
        <f t="shared" si="5"/>
        <v>4</v>
      </c>
      <c r="C27" s="137">
        <v>4</v>
      </c>
      <c r="D27" s="135">
        <f t="shared" si="3"/>
        <v>7.1399045259310991</v>
      </c>
      <c r="E27" s="136">
        <f t="shared" si="1"/>
        <v>2.1762317453363371E-2</v>
      </c>
      <c r="F27" s="96"/>
      <c r="G27" s="136">
        <f t="shared" si="4"/>
        <v>2.1762317453363371E-2</v>
      </c>
      <c r="H27" s="413">
        <f t="shared" si="2"/>
        <v>0</v>
      </c>
      <c r="J27" s="44"/>
      <c r="K27" s="44"/>
      <c r="L27" s="155"/>
      <c r="M27" s="156"/>
    </row>
    <row r="28" spans="1:13" ht="15" customHeight="1" x14ac:dyDescent="0.25">
      <c r="B28" s="137">
        <f t="shared" si="5"/>
        <v>5</v>
      </c>
      <c r="C28" s="137">
        <v>4</v>
      </c>
      <c r="D28" s="135">
        <f t="shared" si="3"/>
        <v>6.4947445259310994</v>
      </c>
      <c r="E28" s="136">
        <f t="shared" si="1"/>
        <v>1.8261303165007448E-2</v>
      </c>
      <c r="F28" s="153"/>
      <c r="G28" s="136">
        <f t="shared" si="4"/>
        <v>1.8261303165007448E-2</v>
      </c>
      <c r="H28" s="413">
        <f t="shared" si="2"/>
        <v>0</v>
      </c>
    </row>
    <row r="29" spans="1:13" ht="15" customHeight="1" x14ac:dyDescent="0.25">
      <c r="B29" s="137">
        <f t="shared" si="5"/>
        <v>6</v>
      </c>
      <c r="C29" s="137">
        <v>4</v>
      </c>
      <c r="D29" s="135">
        <f t="shared" si="3"/>
        <v>5.8495845259310997</v>
      </c>
      <c r="E29" s="136">
        <f t="shared" si="1"/>
        <v>1.5044658938359188E-2</v>
      </c>
      <c r="F29" s="153"/>
      <c r="G29" s="136">
        <f t="shared" si="4"/>
        <v>1.5044658938359188E-2</v>
      </c>
      <c r="H29" s="413">
        <f t="shared" si="2"/>
        <v>0</v>
      </c>
    </row>
    <row r="30" spans="1:13" ht="15" customHeight="1" x14ac:dyDescent="0.25">
      <c r="B30" s="137">
        <f t="shared" si="5"/>
        <v>7</v>
      </c>
      <c r="C30" s="137">
        <v>4</v>
      </c>
      <c r="D30" s="135">
        <f t="shared" si="3"/>
        <v>5.2044245259310999</v>
      </c>
      <c r="E30" s="136">
        <f t="shared" si="1"/>
        <v>1.2116831707628102E-2</v>
      </c>
      <c r="F30" s="96"/>
      <c r="G30" s="136">
        <f t="shared" si="4"/>
        <v>1.2116831707628102E-2</v>
      </c>
      <c r="H30" s="413">
        <f t="shared" si="2"/>
        <v>0</v>
      </c>
    </row>
    <row r="31" spans="1:13" ht="15" customHeight="1" x14ac:dyDescent="0.25">
      <c r="B31" s="137">
        <f t="shared" si="5"/>
        <v>8</v>
      </c>
      <c r="C31" s="137">
        <v>4</v>
      </c>
      <c r="D31" s="135">
        <f t="shared" si="3"/>
        <v>4.5592645259311002</v>
      </c>
      <c r="E31" s="136">
        <f t="shared" si="1"/>
        <v>9.4828735620817554E-3</v>
      </c>
      <c r="F31" s="96"/>
      <c r="G31" s="136">
        <f t="shared" si="4"/>
        <v>9.4828735620817554E-3</v>
      </c>
      <c r="H31" s="413">
        <f t="shared" si="2"/>
        <v>0</v>
      </c>
    </row>
    <row r="32" spans="1:13" ht="15" customHeight="1" x14ac:dyDescent="0.25">
      <c r="B32" s="137">
        <f t="shared" si="5"/>
        <v>9</v>
      </c>
      <c r="C32" s="137">
        <v>4</v>
      </c>
      <c r="D32" s="135">
        <f t="shared" si="3"/>
        <v>3.9141045259311005</v>
      </c>
      <c r="E32" s="136">
        <f t="shared" si="1"/>
        <v>7.148617313423665E-3</v>
      </c>
      <c r="F32" s="96"/>
      <c r="G32" s="136">
        <f t="shared" si="4"/>
        <v>7.148617313423665E-3</v>
      </c>
      <c r="H32" s="413">
        <f t="shared" si="2"/>
        <v>0</v>
      </c>
    </row>
    <row r="33" spans="2:8" ht="15" customHeight="1" x14ac:dyDescent="0.25">
      <c r="B33" s="137">
        <f t="shared" si="5"/>
        <v>10</v>
      </c>
      <c r="C33" s="137">
        <v>4</v>
      </c>
      <c r="D33" s="135">
        <f t="shared" si="3"/>
        <v>3.2689445259311007</v>
      </c>
      <c r="E33" s="136">
        <f t="shared" si="1"/>
        <v>5.1209388740354415E-3</v>
      </c>
      <c r="F33" s="96"/>
      <c r="G33" s="136">
        <f t="shared" si="4"/>
        <v>5.1209388740354415E-3</v>
      </c>
      <c r="H33" s="413">
        <f t="shared" si="2"/>
        <v>0</v>
      </c>
    </row>
    <row r="34" spans="2:8" ht="15" customHeight="1" x14ac:dyDescent="0.25">
      <c r="B34" s="137">
        <f t="shared" si="5"/>
        <v>11</v>
      </c>
      <c r="C34" s="137">
        <v>4</v>
      </c>
      <c r="D34" s="135">
        <f t="shared" si="3"/>
        <v>2.623784525931101</v>
      </c>
      <c r="E34" s="136">
        <f t="shared" si="1"/>
        <v>3.4081741046042319E-3</v>
      </c>
      <c r="F34" s="96"/>
      <c r="G34" s="136">
        <f t="shared" si="4"/>
        <v>3.4081741046042319E-3</v>
      </c>
      <c r="H34" s="413">
        <f t="shared" si="2"/>
        <v>0</v>
      </c>
    </row>
    <row r="35" spans="2:8" ht="15" customHeight="1" x14ac:dyDescent="0.25">
      <c r="B35" s="137">
        <f t="shared" si="5"/>
        <v>12</v>
      </c>
      <c r="C35" s="137">
        <v>4</v>
      </c>
      <c r="D35" s="135">
        <f t="shared" si="3"/>
        <v>1.9786245259311011</v>
      </c>
      <c r="E35" s="136">
        <f t="shared" si="1"/>
        <v>2.0208394097909503E-3</v>
      </c>
      <c r="F35" s="96"/>
      <c r="G35" s="136">
        <f t="shared" si="4"/>
        <v>2.0208394097909503E-3</v>
      </c>
      <c r="H35" s="413">
        <f t="shared" si="2"/>
        <v>0</v>
      </c>
    </row>
    <row r="36" spans="2:8" ht="15" customHeight="1" x14ac:dyDescent="0.25">
      <c r="B36" s="137">
        <f t="shared" si="5"/>
        <v>13</v>
      </c>
      <c r="C36" s="137">
        <v>4</v>
      </c>
      <c r="D36" s="135">
        <f t="shared" si="3"/>
        <v>1.3334645259311011</v>
      </c>
      <c r="E36" s="136">
        <f t="shared" si="1"/>
        <v>9.7304401197143085E-4</v>
      </c>
      <c r="F36" s="96"/>
      <c r="G36" s="136">
        <f t="shared" si="4"/>
        <v>9.7304401197143085E-4</v>
      </c>
      <c r="H36" s="413">
        <f t="shared" si="2"/>
        <v>0</v>
      </c>
    </row>
    <row r="37" spans="2:8" ht="15" customHeight="1" x14ac:dyDescent="0.25">
      <c r="B37" s="137">
        <f t="shared" si="5"/>
        <v>14</v>
      </c>
      <c r="C37" s="137">
        <v>4</v>
      </c>
      <c r="D37" s="135">
        <f t="shared" si="3"/>
        <v>0.68830452593110114</v>
      </c>
      <c r="E37" s="136">
        <f t="shared" si="1"/>
        <v>2.8591472723028919E-4</v>
      </c>
      <c r="F37" s="96"/>
      <c r="G37" s="136">
        <f t="shared" si="4"/>
        <v>2.8591472723028919E-4</v>
      </c>
      <c r="H37" s="413">
        <f t="shared" si="2"/>
        <v>0</v>
      </c>
    </row>
    <row r="38" spans="2:8" ht="15" customHeight="1" x14ac:dyDescent="0.25">
      <c r="B38" s="137">
        <f t="shared" si="5"/>
        <v>15</v>
      </c>
      <c r="C38" s="137">
        <v>4</v>
      </c>
      <c r="D38" s="135">
        <f t="shared" si="3"/>
        <v>4.3144525931101185E-2</v>
      </c>
      <c r="E38" s="136">
        <f t="shared" si="1"/>
        <v>1.6925800085468157E-6</v>
      </c>
      <c r="F38" s="96"/>
      <c r="G38" s="136">
        <f t="shared" si="4"/>
        <v>1.6925800085468157E-6</v>
      </c>
      <c r="H38" s="413">
        <f t="shared" si="2"/>
        <v>0</v>
      </c>
    </row>
    <row r="39" spans="2:8" ht="15" customHeight="1" x14ac:dyDescent="0.25">
      <c r="B39" s="137">
        <f t="shared" si="5"/>
        <v>16</v>
      </c>
      <c r="C39" s="137">
        <v>4</v>
      </c>
      <c r="D39" s="135">
        <f t="shared" si="3"/>
        <v>0</v>
      </c>
      <c r="E39" s="136">
        <f t="shared" si="1"/>
        <v>0</v>
      </c>
      <c r="G39" s="136">
        <f t="shared" si="4"/>
        <v>0</v>
      </c>
      <c r="H39" s="413">
        <f t="shared" si="2"/>
        <v>0</v>
      </c>
    </row>
    <row r="40" spans="2:8" ht="15" customHeight="1" x14ac:dyDescent="0.25">
      <c r="B40" s="137">
        <f t="shared" si="5"/>
        <v>17</v>
      </c>
      <c r="C40" s="137">
        <v>4</v>
      </c>
      <c r="D40" s="135">
        <f t="shared" si="3"/>
        <v>0</v>
      </c>
      <c r="E40" s="136">
        <f t="shared" si="1"/>
        <v>0</v>
      </c>
      <c r="G40" s="136">
        <f t="shared" si="4"/>
        <v>0</v>
      </c>
      <c r="H40" s="413">
        <f t="shared" si="2"/>
        <v>0</v>
      </c>
    </row>
    <row r="41" spans="2:8" ht="15" customHeight="1" x14ac:dyDescent="0.25">
      <c r="B41" s="137">
        <f t="shared" si="5"/>
        <v>18</v>
      </c>
      <c r="C41" s="137">
        <v>4</v>
      </c>
      <c r="D41" s="135">
        <f t="shared" si="3"/>
        <v>0</v>
      </c>
      <c r="E41" s="136">
        <f t="shared" si="1"/>
        <v>0</v>
      </c>
      <c r="G41" s="136">
        <f t="shared" si="4"/>
        <v>0</v>
      </c>
      <c r="H41" s="413">
        <f t="shared" si="2"/>
        <v>0</v>
      </c>
    </row>
    <row r="42" spans="2:8" ht="15" customHeight="1" x14ac:dyDescent="0.25">
      <c r="B42" s="137">
        <f t="shared" si="5"/>
        <v>19</v>
      </c>
      <c r="C42" s="137">
        <v>4</v>
      </c>
      <c r="D42" s="135">
        <f t="shared" si="3"/>
        <v>0</v>
      </c>
      <c r="E42" s="136">
        <f t="shared" si="1"/>
        <v>0</v>
      </c>
      <c r="G42" s="136">
        <f t="shared" si="4"/>
        <v>0</v>
      </c>
      <c r="H42" s="413">
        <f t="shared" si="2"/>
        <v>0</v>
      </c>
    </row>
    <row r="43" spans="2:8" ht="15" customHeight="1" x14ac:dyDescent="0.25">
      <c r="B43" s="137">
        <f t="shared" si="5"/>
        <v>20</v>
      </c>
      <c r="C43" s="137">
        <v>4</v>
      </c>
      <c r="D43" s="135">
        <f t="shared" si="3"/>
        <v>0</v>
      </c>
      <c r="E43" s="136">
        <f t="shared" si="1"/>
        <v>0</v>
      </c>
      <c r="G43" s="136">
        <f t="shared" si="4"/>
        <v>0</v>
      </c>
      <c r="H43" s="413">
        <f t="shared" si="2"/>
        <v>0</v>
      </c>
    </row>
    <row r="44" spans="2:8" x14ac:dyDescent="0.25">
      <c r="B44" s="137">
        <f t="shared" si="5"/>
        <v>21</v>
      </c>
      <c r="C44" s="137">
        <v>4</v>
      </c>
      <c r="D44" s="135">
        <f t="shared" si="3"/>
        <v>0</v>
      </c>
      <c r="E44" s="136">
        <f t="shared" si="1"/>
        <v>0</v>
      </c>
      <c r="G44" s="136">
        <f t="shared" si="4"/>
        <v>0</v>
      </c>
      <c r="H44" s="413">
        <f t="shared" si="2"/>
        <v>0</v>
      </c>
    </row>
    <row r="45" spans="2:8" x14ac:dyDescent="0.25">
      <c r="B45" s="137">
        <f t="shared" si="5"/>
        <v>22</v>
      </c>
      <c r="C45" s="137">
        <v>4</v>
      </c>
      <c r="D45" s="135">
        <f t="shared" si="3"/>
        <v>0</v>
      </c>
      <c r="E45" s="136">
        <f t="shared" si="1"/>
        <v>0</v>
      </c>
      <c r="G45" s="136">
        <f t="shared" si="4"/>
        <v>0</v>
      </c>
      <c r="H45" s="413">
        <f t="shared" si="2"/>
        <v>0</v>
      </c>
    </row>
    <row r="46" spans="2:8" x14ac:dyDescent="0.25">
      <c r="B46" s="137">
        <f t="shared" si="5"/>
        <v>23</v>
      </c>
      <c r="C46" s="137">
        <v>4</v>
      </c>
      <c r="D46" s="135">
        <f t="shared" si="3"/>
        <v>0</v>
      </c>
      <c r="E46" s="136">
        <f t="shared" si="1"/>
        <v>0</v>
      </c>
      <c r="G46" s="136">
        <f t="shared" si="4"/>
        <v>0</v>
      </c>
      <c r="H46" s="413">
        <f t="shared" si="2"/>
        <v>0</v>
      </c>
    </row>
    <row r="47" spans="2:8" x14ac:dyDescent="0.25">
      <c r="B47" s="137">
        <f t="shared" si="5"/>
        <v>24</v>
      </c>
      <c r="C47" s="137">
        <v>4</v>
      </c>
      <c r="D47" s="135">
        <f t="shared" si="3"/>
        <v>0</v>
      </c>
      <c r="E47" s="136">
        <f t="shared" si="1"/>
        <v>0</v>
      </c>
      <c r="G47" s="136">
        <f t="shared" si="4"/>
        <v>0</v>
      </c>
      <c r="H47" s="413">
        <f t="shared" si="2"/>
        <v>0</v>
      </c>
    </row>
    <row r="48" spans="2:8" x14ac:dyDescent="0.25">
      <c r="B48" s="137">
        <f t="shared" si="5"/>
        <v>25</v>
      </c>
      <c r="C48" s="137">
        <v>4</v>
      </c>
      <c r="D48" s="135">
        <f t="shared" si="3"/>
        <v>0</v>
      </c>
      <c r="E48" s="136">
        <f t="shared" si="1"/>
        <v>0</v>
      </c>
      <c r="G48" s="136">
        <f t="shared" si="4"/>
        <v>0</v>
      </c>
      <c r="H48" s="413">
        <f t="shared" si="2"/>
        <v>0</v>
      </c>
    </row>
    <row r="49" spans="2:8" x14ac:dyDescent="0.25">
      <c r="B49" s="137">
        <f t="shared" si="5"/>
        <v>26</v>
      </c>
      <c r="C49" s="137">
        <v>4</v>
      </c>
      <c r="D49" s="135">
        <f t="shared" si="3"/>
        <v>0</v>
      </c>
      <c r="E49" s="136">
        <f t="shared" si="1"/>
        <v>0</v>
      </c>
      <c r="G49" s="136">
        <f t="shared" si="4"/>
        <v>0</v>
      </c>
      <c r="H49" s="413">
        <f t="shared" si="2"/>
        <v>0</v>
      </c>
    </row>
    <row r="50" spans="2:8" x14ac:dyDescent="0.25">
      <c r="B50" s="137">
        <f t="shared" si="5"/>
        <v>27</v>
      </c>
      <c r="C50" s="137">
        <v>4</v>
      </c>
      <c r="D50" s="135">
        <f t="shared" si="3"/>
        <v>0</v>
      </c>
      <c r="E50" s="136">
        <f t="shared" si="1"/>
        <v>0</v>
      </c>
      <c r="G50" s="136">
        <f t="shared" si="4"/>
        <v>0</v>
      </c>
      <c r="H50" s="413">
        <f t="shared" si="2"/>
        <v>0</v>
      </c>
    </row>
    <row r="51" spans="2:8" x14ac:dyDescent="0.25">
      <c r="B51" s="137">
        <f t="shared" si="5"/>
        <v>28</v>
      </c>
      <c r="C51" s="137">
        <v>4</v>
      </c>
      <c r="D51" s="135">
        <f t="shared" si="3"/>
        <v>0</v>
      </c>
      <c r="E51" s="136">
        <f t="shared" si="1"/>
        <v>0</v>
      </c>
      <c r="G51" s="136">
        <f t="shared" si="4"/>
        <v>0</v>
      </c>
      <c r="H51" s="413">
        <f t="shared" si="2"/>
        <v>0</v>
      </c>
    </row>
    <row r="52" spans="2:8" x14ac:dyDescent="0.25">
      <c r="B52" s="137">
        <f t="shared" si="5"/>
        <v>29</v>
      </c>
      <c r="C52" s="137">
        <v>4</v>
      </c>
      <c r="D52" s="135">
        <f t="shared" si="3"/>
        <v>0</v>
      </c>
      <c r="E52" s="136">
        <f t="shared" si="1"/>
        <v>0</v>
      </c>
      <c r="G52" s="136">
        <f t="shared" si="4"/>
        <v>0</v>
      </c>
      <c r="H52" s="413">
        <f t="shared" si="2"/>
        <v>0</v>
      </c>
    </row>
    <row r="53" spans="2:8" x14ac:dyDescent="0.25">
      <c r="B53" s="137">
        <f t="shared" si="5"/>
        <v>30</v>
      </c>
      <c r="C53" s="137">
        <v>4</v>
      </c>
      <c r="D53" s="135">
        <f t="shared" si="3"/>
        <v>0</v>
      </c>
      <c r="E53" s="136">
        <f t="shared" si="1"/>
        <v>0</v>
      </c>
      <c r="G53" s="136">
        <f t="shared" si="4"/>
        <v>0</v>
      </c>
      <c r="H53" s="413">
        <f t="shared" si="2"/>
        <v>0</v>
      </c>
    </row>
    <row r="54" spans="2:8" x14ac:dyDescent="0.25">
      <c r="B54" s="137">
        <f t="shared" si="5"/>
        <v>31</v>
      </c>
      <c r="C54" s="137">
        <v>4</v>
      </c>
      <c r="D54" s="135">
        <f t="shared" si="3"/>
        <v>0</v>
      </c>
      <c r="E54" s="136">
        <f t="shared" si="1"/>
        <v>0</v>
      </c>
      <c r="G54" s="136">
        <f t="shared" si="4"/>
        <v>0</v>
      </c>
      <c r="H54" s="413">
        <f t="shared" si="2"/>
        <v>0</v>
      </c>
    </row>
    <row r="55" spans="2:8" x14ac:dyDescent="0.25">
      <c r="B55" s="137">
        <f t="shared" si="5"/>
        <v>32</v>
      </c>
      <c r="C55" s="137">
        <v>4</v>
      </c>
      <c r="D55" s="135">
        <f t="shared" si="3"/>
        <v>0</v>
      </c>
      <c r="E55" s="136">
        <f t="shared" si="1"/>
        <v>0</v>
      </c>
      <c r="G55" s="136">
        <f t="shared" si="4"/>
        <v>0</v>
      </c>
      <c r="H55" s="413">
        <f t="shared" si="2"/>
        <v>0</v>
      </c>
    </row>
    <row r="56" spans="2:8" x14ac:dyDescent="0.25">
      <c r="B56" s="137">
        <f t="shared" si="5"/>
        <v>33</v>
      </c>
      <c r="C56" s="137">
        <v>4</v>
      </c>
      <c r="D56" s="135">
        <f t="shared" si="3"/>
        <v>0</v>
      </c>
      <c r="E56" s="136">
        <f t="shared" si="1"/>
        <v>0</v>
      </c>
      <c r="G56" s="136">
        <f t="shared" si="4"/>
        <v>0</v>
      </c>
      <c r="H56" s="413">
        <f t="shared" si="2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C2A7-66E7-4371-8D84-244DDC21E952}">
  <dimension ref="A1:H60"/>
  <sheetViews>
    <sheetView showGridLines="0" topLeftCell="A14" zoomScale="75" zoomScaleNormal="75" workbookViewId="0">
      <selection activeCell="L33" sqref="L33"/>
    </sheetView>
  </sheetViews>
  <sheetFormatPr baseColWidth="10" defaultRowHeight="15" x14ac:dyDescent="0.25"/>
  <cols>
    <col min="1" max="1" width="27.140625" customWidth="1"/>
    <col min="2" max="2" width="21.140625" customWidth="1"/>
    <col min="3" max="3" width="20.7109375" customWidth="1"/>
    <col min="4" max="4" width="19" customWidth="1"/>
    <col min="5" max="5" width="11.85546875" customWidth="1"/>
    <col min="8" max="8" width="14.28515625" customWidth="1"/>
  </cols>
  <sheetData>
    <row r="1" spans="1:8" ht="31.5" x14ac:dyDescent="0.25">
      <c r="A1" s="417" t="s">
        <v>113</v>
      </c>
      <c r="B1" s="345"/>
      <c r="C1" s="334"/>
      <c r="D1" s="334"/>
      <c r="E1" s="334"/>
      <c r="F1" s="351"/>
      <c r="G1" s="418" t="s">
        <v>390</v>
      </c>
      <c r="H1" s="415" t="s">
        <v>391</v>
      </c>
    </row>
    <row r="2" spans="1:8" ht="15.75" x14ac:dyDescent="0.25">
      <c r="A2" s="101"/>
      <c r="B2" s="464"/>
      <c r="C2" s="282" t="s">
        <v>337</v>
      </c>
      <c r="F2" s="96"/>
      <c r="G2" s="434"/>
      <c r="H2" s="102"/>
    </row>
    <row r="3" spans="1:8" ht="15.75" x14ac:dyDescent="0.25">
      <c r="A3" s="414"/>
      <c r="B3" s="442" t="s">
        <v>285</v>
      </c>
      <c r="C3" s="443"/>
      <c r="D3" s="444"/>
      <c r="E3" s="445">
        <f>E4+E15</f>
        <v>0.34943251522805463</v>
      </c>
      <c r="F3" s="446" t="s">
        <v>11</v>
      </c>
      <c r="G3" s="471">
        <f>G4+G15</f>
        <v>0.34943251522805463</v>
      </c>
      <c r="H3" s="437">
        <f t="shared" ref="H3:H28" si="0">G3-E3</f>
        <v>0</v>
      </c>
    </row>
    <row r="4" spans="1:8" ht="15.75" x14ac:dyDescent="0.25">
      <c r="A4" s="102"/>
      <c r="B4" s="447" t="s">
        <v>338</v>
      </c>
      <c r="C4" s="455"/>
      <c r="D4" s="448" t="s">
        <v>400</v>
      </c>
      <c r="E4" s="456">
        <f>E10+E13+E14</f>
        <v>0.19428341901182838</v>
      </c>
      <c r="F4" s="457" t="s">
        <v>11</v>
      </c>
      <c r="G4" s="458">
        <f>G10+G13+G14</f>
        <v>0.19428341901182838</v>
      </c>
      <c r="H4" s="437">
        <f t="shared" si="0"/>
        <v>0</v>
      </c>
    </row>
    <row r="5" spans="1:8" ht="18.75" x14ac:dyDescent="0.35">
      <c r="A5" s="102"/>
      <c r="B5" s="113" t="s">
        <v>101</v>
      </c>
      <c r="C5" s="12" t="s">
        <v>102</v>
      </c>
      <c r="D5" s="12" t="s">
        <v>105</v>
      </c>
      <c r="E5" s="451">
        <v>150</v>
      </c>
      <c r="F5" s="452"/>
      <c r="G5" s="459">
        <v>150</v>
      </c>
      <c r="H5" s="437">
        <f t="shared" si="0"/>
        <v>0</v>
      </c>
    </row>
    <row r="6" spans="1:8" x14ac:dyDescent="0.25">
      <c r="A6" s="336" t="s">
        <v>342</v>
      </c>
      <c r="B6" s="113" t="s">
        <v>188</v>
      </c>
      <c r="C6" s="425"/>
      <c r="D6" s="448"/>
      <c r="E6" s="449">
        <f>'Parrilla de Aireación '!E38</f>
        <v>9.0753845259310992</v>
      </c>
      <c r="F6" s="450" t="s">
        <v>8</v>
      </c>
      <c r="G6" s="460">
        <f>'Parrilla de Aireación '!G38</f>
        <v>9.0753845259310992</v>
      </c>
      <c r="H6" s="437">
        <f t="shared" si="0"/>
        <v>0</v>
      </c>
    </row>
    <row r="7" spans="1:8" x14ac:dyDescent="0.25">
      <c r="A7" s="581" t="s">
        <v>319</v>
      </c>
      <c r="B7" s="543" t="s">
        <v>23</v>
      </c>
      <c r="C7" s="542"/>
      <c r="D7" s="542"/>
      <c r="E7" s="544">
        <f>1.4+0.5</f>
        <v>1.9</v>
      </c>
      <c r="F7" s="545" t="s">
        <v>4</v>
      </c>
      <c r="G7" s="459">
        <f>1.4+0.5</f>
        <v>1.9</v>
      </c>
      <c r="H7" s="437">
        <f t="shared" si="0"/>
        <v>0</v>
      </c>
    </row>
    <row r="8" spans="1:8" x14ac:dyDescent="0.25">
      <c r="A8" s="581" t="s">
        <v>319</v>
      </c>
      <c r="B8" s="546" t="s">
        <v>99</v>
      </c>
      <c r="C8" s="534"/>
      <c r="D8" s="535"/>
      <c r="E8" s="547">
        <v>4</v>
      </c>
      <c r="F8" s="545" t="s">
        <v>9</v>
      </c>
      <c r="G8" s="461">
        <v>4</v>
      </c>
      <c r="H8" s="437">
        <f t="shared" si="0"/>
        <v>0</v>
      </c>
    </row>
    <row r="9" spans="1:8" x14ac:dyDescent="0.25">
      <c r="A9" s="102"/>
      <c r="B9" s="158" t="s">
        <v>100</v>
      </c>
      <c r="C9" s="8"/>
      <c r="D9" s="334"/>
      <c r="E9" s="99">
        <f>0.001*E6/(0.25*3.14*(0.0254*E8)^2)</f>
        <v>1.1199740564443872</v>
      </c>
      <c r="F9" s="306" t="s">
        <v>2</v>
      </c>
      <c r="G9" s="412">
        <f>0.001*G6/(0.25*3.14*(0.0254*G8)^2)</f>
        <v>1.1199740564443872</v>
      </c>
      <c r="H9" s="437">
        <f t="shared" si="0"/>
        <v>0</v>
      </c>
    </row>
    <row r="10" spans="1:8" x14ac:dyDescent="0.25">
      <c r="A10" s="336" t="s">
        <v>335</v>
      </c>
      <c r="B10" s="13" t="s">
        <v>24</v>
      </c>
      <c r="C10" s="8"/>
      <c r="D10" s="334"/>
      <c r="E10" s="99">
        <f>(10.672*E7*(0.001*E6/E5)^1.852)/(0.0254*E8)^4.871</f>
        <v>2.1491424359127483E-2</v>
      </c>
      <c r="F10" s="338" t="s">
        <v>11</v>
      </c>
      <c r="G10" s="412">
        <f>(10.672*G7*(0.001*G6/G5)^1.852)/(0.0254*G8)^4.871</f>
        <v>2.1491424359127483E-2</v>
      </c>
      <c r="H10" s="437">
        <f t="shared" si="0"/>
        <v>0</v>
      </c>
    </row>
    <row r="11" spans="1:8" x14ac:dyDescent="0.25">
      <c r="A11" s="102"/>
      <c r="B11" s="341" t="s">
        <v>10</v>
      </c>
      <c r="C11" s="151"/>
      <c r="D11" s="334"/>
      <c r="E11" s="293">
        <f>E9^2/19.6</f>
        <v>6.3997035056555893E-2</v>
      </c>
      <c r="F11" s="12" t="s">
        <v>11</v>
      </c>
      <c r="G11" s="458">
        <f>G9^2/19.6</f>
        <v>6.3997035056555893E-2</v>
      </c>
      <c r="H11" s="437">
        <f t="shared" si="0"/>
        <v>0</v>
      </c>
    </row>
    <row r="12" spans="1:8" x14ac:dyDescent="0.25">
      <c r="A12" s="102"/>
      <c r="B12" s="350" t="s">
        <v>34</v>
      </c>
      <c r="C12" s="427" t="s">
        <v>103</v>
      </c>
      <c r="D12" s="138" t="s">
        <v>104</v>
      </c>
      <c r="E12" s="454" t="s">
        <v>399</v>
      </c>
      <c r="F12" s="334"/>
      <c r="G12" s="454" t="s">
        <v>399</v>
      </c>
      <c r="H12" s="437"/>
    </row>
    <row r="13" spans="1:8" x14ac:dyDescent="0.25">
      <c r="A13" s="336" t="s">
        <v>336</v>
      </c>
      <c r="B13" s="341" t="s">
        <v>286</v>
      </c>
      <c r="C13" s="427">
        <v>0.9</v>
      </c>
      <c r="D13" s="138">
        <v>1</v>
      </c>
      <c r="E13" s="458">
        <f>C13*D13*E11</f>
        <v>5.7597331550900306E-2</v>
      </c>
      <c r="F13" s="334" t="s">
        <v>11</v>
      </c>
      <c r="G13" s="458">
        <f>C13*D13*G11</f>
        <v>5.7597331550900306E-2</v>
      </c>
      <c r="H13" s="437">
        <f t="shared" si="0"/>
        <v>0</v>
      </c>
    </row>
    <row r="14" spans="1:8" x14ac:dyDescent="0.25">
      <c r="A14" s="336" t="s">
        <v>336</v>
      </c>
      <c r="B14" s="337" t="s">
        <v>339</v>
      </c>
      <c r="C14" s="427">
        <v>1.8</v>
      </c>
      <c r="D14" s="138">
        <v>1</v>
      </c>
      <c r="E14" s="458">
        <f>C14*D14*E11</f>
        <v>0.11519466310180061</v>
      </c>
      <c r="F14" s="334" t="s">
        <v>11</v>
      </c>
      <c r="G14" s="458">
        <f>C14*D14*G11</f>
        <v>0.11519466310180061</v>
      </c>
      <c r="H14" s="437">
        <f t="shared" si="0"/>
        <v>0</v>
      </c>
    </row>
    <row r="15" spans="1:8" ht="15.75" x14ac:dyDescent="0.25">
      <c r="A15" s="102"/>
      <c r="B15" s="447" t="s">
        <v>221</v>
      </c>
      <c r="C15" s="455"/>
      <c r="D15" s="448" t="s">
        <v>400</v>
      </c>
      <c r="E15" s="456">
        <f>E24+E28/100</f>
        <v>0.15514909621622625</v>
      </c>
      <c r="F15" s="457" t="s">
        <v>11</v>
      </c>
      <c r="G15" s="439">
        <f>G24+G28/100</f>
        <v>0.15514909621622625</v>
      </c>
      <c r="H15" s="437">
        <f t="shared" si="0"/>
        <v>0</v>
      </c>
    </row>
    <row r="16" spans="1:8" ht="18.75" x14ac:dyDescent="0.35">
      <c r="A16" s="102"/>
      <c r="B16" s="113" t="s">
        <v>101</v>
      </c>
      <c r="C16" s="12" t="s">
        <v>157</v>
      </c>
      <c r="D16" s="12" t="s">
        <v>158</v>
      </c>
      <c r="E16" s="451">
        <v>60</v>
      </c>
      <c r="F16" s="452"/>
      <c r="G16" s="496">
        <v>60</v>
      </c>
      <c r="H16" s="437">
        <f t="shared" si="0"/>
        <v>0</v>
      </c>
    </row>
    <row r="17" spans="1:8" x14ac:dyDescent="0.25">
      <c r="A17" s="336" t="s">
        <v>342</v>
      </c>
      <c r="B17" s="243" t="s">
        <v>159</v>
      </c>
      <c r="C17" s="8"/>
      <c r="D17" s="334"/>
      <c r="E17" s="453">
        <f>'Parrilla de Aireación '!E38</f>
        <v>9.0753845259310992</v>
      </c>
      <c r="F17" s="452" t="s">
        <v>8</v>
      </c>
      <c r="G17" s="497">
        <f>'Parrilla de Aireación '!G38</f>
        <v>9.0753845259310992</v>
      </c>
      <c r="H17" s="437">
        <f t="shared" si="0"/>
        <v>0</v>
      </c>
    </row>
    <row r="18" spans="1:8" x14ac:dyDescent="0.25">
      <c r="A18" s="102"/>
      <c r="B18" s="158" t="s">
        <v>99</v>
      </c>
      <c r="C18" s="8"/>
      <c r="D18" s="334"/>
      <c r="E18" s="163">
        <v>150</v>
      </c>
      <c r="F18" s="306" t="s">
        <v>6</v>
      </c>
      <c r="G18" s="646">
        <v>150</v>
      </c>
      <c r="H18" s="437">
        <f t="shared" si="0"/>
        <v>0</v>
      </c>
    </row>
    <row r="19" spans="1:8" x14ac:dyDescent="0.25">
      <c r="A19" s="336" t="s">
        <v>331</v>
      </c>
      <c r="B19" s="13" t="s">
        <v>160</v>
      </c>
      <c r="C19" s="8"/>
      <c r="D19" s="334"/>
      <c r="E19" s="99">
        <f>'Planta Pincta'!E37</f>
        <v>88.401244893649022</v>
      </c>
      <c r="F19" s="338" t="s">
        <v>4</v>
      </c>
      <c r="G19" s="437">
        <f>'Planta Pincta'!G37</f>
        <v>88.401244893649022</v>
      </c>
      <c r="H19" s="437">
        <f t="shared" si="0"/>
        <v>0</v>
      </c>
    </row>
    <row r="20" spans="1:8" x14ac:dyDescent="0.25">
      <c r="A20" s="102"/>
      <c r="B20" s="341" t="s">
        <v>161</v>
      </c>
      <c r="C20" s="151"/>
      <c r="D20" s="334"/>
      <c r="E20" s="293">
        <f>E19/2</f>
        <v>44.200622446824511</v>
      </c>
      <c r="F20" s="12" t="s">
        <v>4</v>
      </c>
      <c r="G20" s="438">
        <f>G19/2</f>
        <v>44.200622446824511</v>
      </c>
      <c r="H20" s="437">
        <f t="shared" si="0"/>
        <v>0</v>
      </c>
    </row>
    <row r="21" spans="1:8" x14ac:dyDescent="0.25">
      <c r="A21" s="102"/>
      <c r="B21" s="539" t="s">
        <v>163</v>
      </c>
      <c r="C21" s="540"/>
      <c r="D21" s="535"/>
      <c r="E21" s="548">
        <v>20</v>
      </c>
      <c r="F21" s="542"/>
      <c r="G21" s="498">
        <v>20</v>
      </c>
      <c r="H21" s="437">
        <f t="shared" si="0"/>
        <v>0</v>
      </c>
    </row>
    <row r="22" spans="1:8" x14ac:dyDescent="0.25">
      <c r="A22" s="102"/>
      <c r="B22" s="158" t="s">
        <v>162</v>
      </c>
      <c r="C22" s="8"/>
      <c r="D22" s="334"/>
      <c r="E22" s="99">
        <f>E20/E21</f>
        <v>2.2100311223412255</v>
      </c>
      <c r="F22" s="306" t="s">
        <v>11</v>
      </c>
      <c r="G22" s="437">
        <f>G20/G21</f>
        <v>2.2100311223412255</v>
      </c>
      <c r="H22" s="437">
        <f t="shared" si="0"/>
        <v>0</v>
      </c>
    </row>
    <row r="23" spans="1:8" x14ac:dyDescent="0.25">
      <c r="A23" s="102"/>
      <c r="B23" s="13" t="s">
        <v>164</v>
      </c>
      <c r="C23" s="8"/>
      <c r="D23" s="334"/>
      <c r="E23" s="170">
        <f>E17/E21</f>
        <v>0.45376922629655497</v>
      </c>
      <c r="F23" s="338" t="s">
        <v>8</v>
      </c>
      <c r="G23" s="499">
        <f>G17/G21</f>
        <v>0.45376922629655497</v>
      </c>
      <c r="H23" s="437">
        <f t="shared" si="0"/>
        <v>0</v>
      </c>
    </row>
    <row r="24" spans="1:8" x14ac:dyDescent="0.25">
      <c r="A24" s="102"/>
      <c r="B24" s="341" t="s">
        <v>222</v>
      </c>
      <c r="C24" s="151"/>
      <c r="D24" s="334"/>
      <c r="E24" s="293">
        <f>SUM(E31:E60)</f>
        <v>0.15380479297437361</v>
      </c>
      <c r="F24" s="12" t="s">
        <v>11</v>
      </c>
      <c r="G24" s="438">
        <f>SUM(G31:G60)</f>
        <v>0.15380479297437361</v>
      </c>
      <c r="H24" s="437">
        <f t="shared" si="0"/>
        <v>0</v>
      </c>
    </row>
    <row r="25" spans="1:8" ht="17.25" x14ac:dyDescent="0.25">
      <c r="A25" s="336" t="s">
        <v>453</v>
      </c>
      <c r="B25" s="113" t="s">
        <v>165</v>
      </c>
      <c r="C25" s="12"/>
      <c r="D25" s="334"/>
      <c r="E25" s="343">
        <v>40</v>
      </c>
      <c r="F25" s="12" t="s">
        <v>166</v>
      </c>
      <c r="G25" s="435">
        <v>40</v>
      </c>
      <c r="H25" s="437">
        <f t="shared" si="0"/>
        <v>0</v>
      </c>
    </row>
    <row r="26" spans="1:8" x14ac:dyDescent="0.25">
      <c r="A26" s="102"/>
      <c r="B26" s="13" t="s">
        <v>167</v>
      </c>
      <c r="C26" s="8"/>
      <c r="D26" s="334"/>
      <c r="E26" s="170">
        <f>0.001*E23/(E22*E25/10000)</f>
        <v>5.1330637576706223E-2</v>
      </c>
      <c r="F26" s="338" t="s">
        <v>2</v>
      </c>
      <c r="G26" s="462">
        <f>0.001*G23/(G22*G25/10000)</f>
        <v>5.1330637576706223E-2</v>
      </c>
      <c r="H26" s="437">
        <f t="shared" si="0"/>
        <v>0</v>
      </c>
    </row>
    <row r="27" spans="1:8" x14ac:dyDescent="0.25">
      <c r="A27" s="102"/>
      <c r="B27" s="113" t="s">
        <v>168</v>
      </c>
      <c r="C27" s="12"/>
      <c r="D27" s="334"/>
      <c r="E27" s="343">
        <v>1</v>
      </c>
      <c r="F27" s="12"/>
      <c r="G27" s="463">
        <v>1</v>
      </c>
      <c r="H27" s="437">
        <f t="shared" si="0"/>
        <v>0</v>
      </c>
    </row>
    <row r="28" spans="1:8" x14ac:dyDescent="0.25">
      <c r="A28" s="102"/>
      <c r="B28" s="341" t="s">
        <v>169</v>
      </c>
      <c r="C28" s="151"/>
      <c r="D28" s="334"/>
      <c r="E28" s="293">
        <f>1000*E27*E26^2/19.6</f>
        <v>0.13443032418526352</v>
      </c>
      <c r="F28" s="12" t="s">
        <v>223</v>
      </c>
      <c r="G28" s="458">
        <f>1000*G27*G26^2/19.6</f>
        <v>0.13443032418526352</v>
      </c>
      <c r="H28" s="437">
        <f t="shared" si="0"/>
        <v>0</v>
      </c>
    </row>
    <row r="29" spans="1:8" x14ac:dyDescent="0.25">
      <c r="C29" s="133" t="s">
        <v>171</v>
      </c>
      <c r="D29" s="133" t="s">
        <v>172</v>
      </c>
      <c r="E29" s="339" t="s">
        <v>173</v>
      </c>
      <c r="G29" s="339" t="s">
        <v>173</v>
      </c>
    </row>
    <row r="30" spans="1:8" x14ac:dyDescent="0.25">
      <c r="C30" s="134"/>
      <c r="D30" s="134" t="s">
        <v>8</v>
      </c>
      <c r="E30" s="134" t="s">
        <v>11</v>
      </c>
      <c r="G30" s="134" t="s">
        <v>11</v>
      </c>
    </row>
    <row r="31" spans="1:8" x14ac:dyDescent="0.25">
      <c r="C31" s="137">
        <v>1</v>
      </c>
      <c r="D31" s="135">
        <f>E23</f>
        <v>0.45376922629655497</v>
      </c>
      <c r="E31" s="136">
        <f t="shared" ref="E31:E60" si="1">(10.672*$E$22*(0.001*D31/$E$16)^1.852)/(0.001*$E$18)^4.871</f>
        <v>7.9657387871630403E-5</v>
      </c>
      <c r="G31" s="136">
        <f>(10.672*$G$22*(0.001*D31/$E$16)^1.852)/(0.001*$G$18)^4.871</f>
        <v>7.9657387871630403E-5</v>
      </c>
      <c r="H31" s="437">
        <f t="shared" ref="H31:H60" si="2">G31-E31</f>
        <v>0</v>
      </c>
    </row>
    <row r="32" spans="1:8" x14ac:dyDescent="0.25">
      <c r="C32" s="137">
        <f>C31+1</f>
        <v>2</v>
      </c>
      <c r="D32" s="135">
        <f t="shared" ref="D32:D60" si="3">IF(C32&gt;$E$21,0,D31+$E$23)</f>
        <v>0.90753845259310995</v>
      </c>
      <c r="E32" s="136">
        <f t="shared" si="1"/>
        <v>2.8756340200761341E-4</v>
      </c>
      <c r="G32" s="136">
        <f t="shared" ref="G32:G60" si="4">(10.672*$G$22*(0.001*D32/$E$16)^1.852)/(0.001*$G$18)^4.871</f>
        <v>2.8756340200761341E-4</v>
      </c>
      <c r="H32" s="437">
        <f t="shared" si="2"/>
        <v>0</v>
      </c>
    </row>
    <row r="33" spans="3:8" x14ac:dyDescent="0.25">
      <c r="C33" s="137">
        <f t="shared" ref="C33:C60" si="5">C32+1</f>
        <v>3</v>
      </c>
      <c r="D33" s="135">
        <f t="shared" si="3"/>
        <v>1.361307678889665</v>
      </c>
      <c r="E33" s="136">
        <f t="shared" si="1"/>
        <v>6.0933289553784394E-4</v>
      </c>
      <c r="G33" s="136">
        <f t="shared" si="4"/>
        <v>6.0933289553784394E-4</v>
      </c>
      <c r="H33" s="437">
        <f t="shared" si="2"/>
        <v>0</v>
      </c>
    </row>
    <row r="34" spans="3:8" x14ac:dyDescent="0.25">
      <c r="C34" s="137">
        <f t="shared" si="5"/>
        <v>4</v>
      </c>
      <c r="D34" s="135">
        <f t="shared" si="3"/>
        <v>1.8150769051862199</v>
      </c>
      <c r="E34" s="136">
        <f t="shared" si="1"/>
        <v>1.0381047180137684E-3</v>
      </c>
      <c r="G34" s="136">
        <f t="shared" si="4"/>
        <v>1.0381047180137684E-3</v>
      </c>
      <c r="H34" s="437">
        <f t="shared" si="2"/>
        <v>0</v>
      </c>
    </row>
    <row r="35" spans="3:8" x14ac:dyDescent="0.25">
      <c r="C35" s="137">
        <f t="shared" si="5"/>
        <v>5</v>
      </c>
      <c r="D35" s="135">
        <f t="shared" si="3"/>
        <v>2.2688461314827748</v>
      </c>
      <c r="E35" s="136">
        <f t="shared" si="1"/>
        <v>1.5693452922725449E-3</v>
      </c>
      <c r="G35" s="136">
        <f t="shared" si="4"/>
        <v>1.5693452922725449E-3</v>
      </c>
      <c r="H35" s="437">
        <f t="shared" si="2"/>
        <v>0</v>
      </c>
    </row>
    <row r="36" spans="3:8" x14ac:dyDescent="0.25">
      <c r="C36" s="137">
        <f t="shared" si="5"/>
        <v>6</v>
      </c>
      <c r="D36" s="135">
        <f t="shared" si="3"/>
        <v>2.7226153577793299</v>
      </c>
      <c r="E36" s="136">
        <f t="shared" si="1"/>
        <v>2.199693525958763E-3</v>
      </c>
      <c r="G36" s="136">
        <f t="shared" si="4"/>
        <v>2.199693525958763E-3</v>
      </c>
      <c r="H36" s="437">
        <f t="shared" si="2"/>
        <v>0</v>
      </c>
    </row>
    <row r="37" spans="3:8" x14ac:dyDescent="0.25">
      <c r="C37" s="137">
        <f t="shared" si="5"/>
        <v>7</v>
      </c>
      <c r="D37" s="135">
        <f t="shared" si="3"/>
        <v>3.1763845840758851</v>
      </c>
      <c r="E37" s="136">
        <f t="shared" si="1"/>
        <v>2.9264939525953377E-3</v>
      </c>
      <c r="G37" s="136">
        <f t="shared" si="4"/>
        <v>2.9264939525953377E-3</v>
      </c>
      <c r="H37" s="437">
        <f t="shared" si="2"/>
        <v>0</v>
      </c>
    </row>
    <row r="38" spans="3:8" x14ac:dyDescent="0.25">
      <c r="C38" s="137">
        <f t="shared" si="5"/>
        <v>8</v>
      </c>
      <c r="D38" s="135">
        <f t="shared" si="3"/>
        <v>3.6301538103724402</v>
      </c>
      <c r="E38" s="136">
        <f t="shared" si="1"/>
        <v>3.7475610527584256E-3</v>
      </c>
      <c r="G38" s="136">
        <f t="shared" si="4"/>
        <v>3.7475610527584256E-3</v>
      </c>
      <c r="H38" s="437">
        <f t="shared" si="2"/>
        <v>0</v>
      </c>
    </row>
    <row r="39" spans="3:8" x14ac:dyDescent="0.25">
      <c r="C39" s="137">
        <f t="shared" si="5"/>
        <v>9</v>
      </c>
      <c r="D39" s="135">
        <f t="shared" si="3"/>
        <v>4.0839230366689954</v>
      </c>
      <c r="E39" s="136">
        <f t="shared" si="1"/>
        <v>4.6610438467159874E-3</v>
      </c>
      <c r="G39" s="136">
        <f t="shared" si="4"/>
        <v>4.6610438467159874E-3</v>
      </c>
      <c r="H39" s="437">
        <f t="shared" si="2"/>
        <v>0</v>
      </c>
    </row>
    <row r="40" spans="3:8" x14ac:dyDescent="0.25">
      <c r="C40" s="137">
        <f t="shared" si="5"/>
        <v>10</v>
      </c>
      <c r="D40" s="135">
        <f t="shared" si="3"/>
        <v>4.5376922629655505</v>
      </c>
      <c r="E40" s="136">
        <f t="shared" si="1"/>
        <v>5.6653410716628414E-3</v>
      </c>
      <c r="G40" s="136">
        <f t="shared" si="4"/>
        <v>5.6653410716628414E-3</v>
      </c>
      <c r="H40" s="437">
        <f t="shared" si="2"/>
        <v>0</v>
      </c>
    </row>
    <row r="41" spans="3:8" x14ac:dyDescent="0.25">
      <c r="C41" s="137">
        <f t="shared" si="5"/>
        <v>11</v>
      </c>
      <c r="D41" s="135">
        <f t="shared" si="3"/>
        <v>4.9914614892621056</v>
      </c>
      <c r="E41" s="136">
        <f t="shared" si="1"/>
        <v>6.7590446255787499E-3</v>
      </c>
      <c r="G41" s="136">
        <f t="shared" si="4"/>
        <v>6.7590446255787499E-3</v>
      </c>
      <c r="H41" s="437">
        <f t="shared" si="2"/>
        <v>0</v>
      </c>
    </row>
    <row r="42" spans="3:8" x14ac:dyDescent="0.25">
      <c r="C42" s="137">
        <f t="shared" si="5"/>
        <v>12</v>
      </c>
      <c r="D42" s="135">
        <f t="shared" si="3"/>
        <v>5.4452307155586608</v>
      </c>
      <c r="E42" s="136">
        <f t="shared" si="1"/>
        <v>7.940900029488749E-3</v>
      </c>
      <c r="G42" s="136">
        <f t="shared" si="4"/>
        <v>7.940900029488749E-3</v>
      </c>
      <c r="H42" s="437">
        <f t="shared" si="2"/>
        <v>0</v>
      </c>
    </row>
    <row r="43" spans="3:8" x14ac:dyDescent="0.25">
      <c r="C43" s="137">
        <f t="shared" si="5"/>
        <v>13</v>
      </c>
      <c r="D43" s="135">
        <f t="shared" si="3"/>
        <v>5.8989999418552159</v>
      </c>
      <c r="E43" s="136">
        <f t="shared" si="1"/>
        <v>9.2097777379273986E-3</v>
      </c>
      <c r="G43" s="136">
        <f t="shared" si="4"/>
        <v>9.2097777379273986E-3</v>
      </c>
      <c r="H43" s="437">
        <f t="shared" si="2"/>
        <v>0</v>
      </c>
    </row>
    <row r="44" spans="3:8" x14ac:dyDescent="0.25">
      <c r="C44" s="137">
        <f t="shared" si="5"/>
        <v>14</v>
      </c>
      <c r="D44" s="135">
        <f t="shared" si="3"/>
        <v>6.3527691681517711</v>
      </c>
      <c r="E44" s="136">
        <f t="shared" si="1"/>
        <v>1.056465168452681E-2</v>
      </c>
      <c r="G44" s="136">
        <f t="shared" si="4"/>
        <v>1.056465168452681E-2</v>
      </c>
      <c r="H44" s="437">
        <f t="shared" si="2"/>
        <v>0</v>
      </c>
    </row>
    <row r="45" spans="3:8" x14ac:dyDescent="0.25">
      <c r="C45" s="137">
        <f t="shared" si="5"/>
        <v>15</v>
      </c>
      <c r="D45" s="135">
        <f t="shared" si="3"/>
        <v>6.8065383944483262</v>
      </c>
      <c r="E45" s="136">
        <f t="shared" si="1"/>
        <v>1.200458283392538E-2</v>
      </c>
      <c r="G45" s="136">
        <f t="shared" si="4"/>
        <v>1.200458283392538E-2</v>
      </c>
      <c r="H45" s="437">
        <f t="shared" si="2"/>
        <v>0</v>
      </c>
    </row>
    <row r="46" spans="3:8" x14ac:dyDescent="0.25">
      <c r="C46" s="137">
        <f t="shared" si="5"/>
        <v>16</v>
      </c>
      <c r="D46" s="135">
        <f t="shared" si="3"/>
        <v>7.2603076207448813</v>
      </c>
      <c r="E46" s="136">
        <f t="shared" si="1"/>
        <v>1.3528706305297435E-2</v>
      </c>
      <c r="G46" s="136">
        <f t="shared" si="4"/>
        <v>1.3528706305297435E-2</v>
      </c>
      <c r="H46" s="437">
        <f t="shared" si="2"/>
        <v>0</v>
      </c>
    </row>
    <row r="47" spans="3:8" x14ac:dyDescent="0.25">
      <c r="C47" s="137">
        <f t="shared" si="5"/>
        <v>17</v>
      </c>
      <c r="D47" s="135">
        <f t="shared" si="3"/>
        <v>7.7140768470414365</v>
      </c>
      <c r="E47" s="136">
        <f t="shared" si="1"/>
        <v>1.5136221110574749E-2</v>
      </c>
      <c r="G47" s="136">
        <f t="shared" si="4"/>
        <v>1.5136221110574749E-2</v>
      </c>
      <c r="H47" s="437">
        <f t="shared" si="2"/>
        <v>0</v>
      </c>
    </row>
    <row r="48" spans="3:8" x14ac:dyDescent="0.25">
      <c r="C48" s="137">
        <f t="shared" si="5"/>
        <v>18</v>
      </c>
      <c r="D48" s="135">
        <f t="shared" si="3"/>
        <v>8.1678460733379907</v>
      </c>
      <c r="E48" s="136">
        <f t="shared" si="1"/>
        <v>1.6826381849581899E-2</v>
      </c>
      <c r="G48" s="136">
        <f t="shared" si="4"/>
        <v>1.6826381849581899E-2</v>
      </c>
      <c r="H48" s="437">
        <f t="shared" si="2"/>
        <v>0</v>
      </c>
    </row>
    <row r="49" spans="3:8" x14ac:dyDescent="0.25">
      <c r="C49" s="137">
        <f t="shared" si="5"/>
        <v>19</v>
      </c>
      <c r="D49" s="135">
        <f t="shared" si="3"/>
        <v>8.621615299634545</v>
      </c>
      <c r="E49" s="136">
        <f t="shared" si="1"/>
        <v>1.8598491898083686E-2</v>
      </c>
      <c r="G49" s="136">
        <f t="shared" si="4"/>
        <v>1.8598491898083686E-2</v>
      </c>
      <c r="H49" s="437">
        <f t="shared" si="2"/>
        <v>0</v>
      </c>
    </row>
    <row r="50" spans="3:8" x14ac:dyDescent="0.25">
      <c r="C50" s="137">
        <f t="shared" si="5"/>
        <v>20</v>
      </c>
      <c r="D50" s="135">
        <f t="shared" si="3"/>
        <v>9.0753845259310992</v>
      </c>
      <c r="E50" s="136">
        <f t="shared" si="1"/>
        <v>2.0451897753993982E-2</v>
      </c>
      <c r="G50" s="136">
        <f t="shared" si="4"/>
        <v>2.0451897753993982E-2</v>
      </c>
      <c r="H50" s="437">
        <f t="shared" si="2"/>
        <v>0</v>
      </c>
    </row>
    <row r="51" spans="3:8" x14ac:dyDescent="0.25">
      <c r="C51" s="137">
        <f t="shared" si="5"/>
        <v>21</v>
      </c>
      <c r="D51" s="135">
        <f t="shared" si="3"/>
        <v>0</v>
      </c>
      <c r="E51" s="136">
        <f t="shared" si="1"/>
        <v>0</v>
      </c>
      <c r="G51" s="136">
        <f t="shared" si="4"/>
        <v>0</v>
      </c>
      <c r="H51" s="437">
        <f t="shared" si="2"/>
        <v>0</v>
      </c>
    </row>
    <row r="52" spans="3:8" x14ac:dyDescent="0.25">
      <c r="C52" s="137">
        <f t="shared" si="5"/>
        <v>22</v>
      </c>
      <c r="D52" s="135">
        <f t="shared" si="3"/>
        <v>0</v>
      </c>
      <c r="E52" s="136">
        <f t="shared" si="1"/>
        <v>0</v>
      </c>
      <c r="G52" s="136">
        <f t="shared" si="4"/>
        <v>0</v>
      </c>
      <c r="H52" s="437">
        <f t="shared" si="2"/>
        <v>0</v>
      </c>
    </row>
    <row r="53" spans="3:8" x14ac:dyDescent="0.25">
      <c r="C53" s="137">
        <f t="shared" si="5"/>
        <v>23</v>
      </c>
      <c r="D53" s="135">
        <f t="shared" si="3"/>
        <v>0</v>
      </c>
      <c r="E53" s="136">
        <f t="shared" si="1"/>
        <v>0</v>
      </c>
      <c r="G53" s="136">
        <f t="shared" si="4"/>
        <v>0</v>
      </c>
      <c r="H53" s="437">
        <f t="shared" si="2"/>
        <v>0</v>
      </c>
    </row>
    <row r="54" spans="3:8" x14ac:dyDescent="0.25">
      <c r="C54" s="137">
        <f t="shared" si="5"/>
        <v>24</v>
      </c>
      <c r="D54" s="135">
        <f t="shared" si="3"/>
        <v>0</v>
      </c>
      <c r="E54" s="136">
        <f t="shared" si="1"/>
        <v>0</v>
      </c>
      <c r="G54" s="136">
        <f t="shared" si="4"/>
        <v>0</v>
      </c>
      <c r="H54" s="437">
        <f t="shared" si="2"/>
        <v>0</v>
      </c>
    </row>
    <row r="55" spans="3:8" x14ac:dyDescent="0.25">
      <c r="C55" s="137">
        <f t="shared" si="5"/>
        <v>25</v>
      </c>
      <c r="D55" s="135">
        <f t="shared" si="3"/>
        <v>0</v>
      </c>
      <c r="E55" s="136">
        <f t="shared" si="1"/>
        <v>0</v>
      </c>
      <c r="G55" s="136">
        <f t="shared" si="4"/>
        <v>0</v>
      </c>
      <c r="H55" s="437">
        <f t="shared" si="2"/>
        <v>0</v>
      </c>
    </row>
    <row r="56" spans="3:8" x14ac:dyDescent="0.25">
      <c r="C56" s="137">
        <f t="shared" si="5"/>
        <v>26</v>
      </c>
      <c r="D56" s="135">
        <f t="shared" si="3"/>
        <v>0</v>
      </c>
      <c r="E56" s="136">
        <f t="shared" si="1"/>
        <v>0</v>
      </c>
      <c r="G56" s="136">
        <f t="shared" si="4"/>
        <v>0</v>
      </c>
      <c r="H56" s="437">
        <f t="shared" si="2"/>
        <v>0</v>
      </c>
    </row>
    <row r="57" spans="3:8" x14ac:dyDescent="0.25">
      <c r="C57" s="137">
        <f t="shared" si="5"/>
        <v>27</v>
      </c>
      <c r="D57" s="135">
        <f t="shared" si="3"/>
        <v>0</v>
      </c>
      <c r="E57" s="136">
        <f t="shared" si="1"/>
        <v>0</v>
      </c>
      <c r="G57" s="136">
        <f t="shared" si="4"/>
        <v>0</v>
      </c>
      <c r="H57" s="437">
        <f t="shared" si="2"/>
        <v>0</v>
      </c>
    </row>
    <row r="58" spans="3:8" x14ac:dyDescent="0.25">
      <c r="C58" s="137">
        <f t="shared" si="5"/>
        <v>28</v>
      </c>
      <c r="D58" s="135">
        <f t="shared" si="3"/>
        <v>0</v>
      </c>
      <c r="E58" s="136">
        <f t="shared" si="1"/>
        <v>0</v>
      </c>
      <c r="G58" s="136">
        <f t="shared" si="4"/>
        <v>0</v>
      </c>
      <c r="H58" s="437">
        <f t="shared" si="2"/>
        <v>0</v>
      </c>
    </row>
    <row r="59" spans="3:8" x14ac:dyDescent="0.25">
      <c r="C59" s="137">
        <f t="shared" si="5"/>
        <v>29</v>
      </c>
      <c r="D59" s="135">
        <f t="shared" si="3"/>
        <v>0</v>
      </c>
      <c r="E59" s="136">
        <f t="shared" si="1"/>
        <v>0</v>
      </c>
      <c r="G59" s="136">
        <f t="shared" si="4"/>
        <v>0</v>
      </c>
      <c r="H59" s="437">
        <f t="shared" si="2"/>
        <v>0</v>
      </c>
    </row>
    <row r="60" spans="3:8" x14ac:dyDescent="0.25">
      <c r="C60" s="137">
        <f t="shared" si="5"/>
        <v>30</v>
      </c>
      <c r="D60" s="135">
        <f t="shared" si="3"/>
        <v>0</v>
      </c>
      <c r="E60" s="136">
        <f t="shared" si="1"/>
        <v>0</v>
      </c>
      <c r="G60" s="136">
        <f t="shared" si="4"/>
        <v>0</v>
      </c>
      <c r="H60" s="437">
        <f t="shared" si="2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5BDB-F155-4F95-8764-F5B908133AB2}">
  <dimension ref="A1:M38"/>
  <sheetViews>
    <sheetView showGridLines="0" zoomScale="75" zoomScaleNormal="75" workbookViewId="0">
      <selection activeCell="E27" sqref="E27"/>
    </sheetView>
  </sheetViews>
  <sheetFormatPr baseColWidth="10" defaultRowHeight="15" x14ac:dyDescent="0.25"/>
  <cols>
    <col min="1" max="1" width="42.28515625" customWidth="1"/>
    <col min="2" max="2" width="25.140625" customWidth="1"/>
    <col min="3" max="3" width="11.5703125" customWidth="1"/>
    <col min="4" max="4" width="16.85546875" customWidth="1"/>
    <col min="5" max="5" width="15.5703125" customWidth="1"/>
    <col min="6" max="6" width="11" customWidth="1"/>
    <col min="7" max="7" width="13.140625" customWidth="1"/>
    <col min="8" max="8" width="14.42578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1.5" x14ac:dyDescent="0.25">
      <c r="A1" s="417" t="s">
        <v>113</v>
      </c>
      <c r="B1" s="345"/>
      <c r="C1" s="334"/>
      <c r="D1" s="334"/>
      <c r="E1" s="334"/>
      <c r="F1" s="351"/>
      <c r="G1" s="418" t="s">
        <v>390</v>
      </c>
      <c r="H1" s="415" t="s">
        <v>391</v>
      </c>
    </row>
    <row r="2" spans="1:8" x14ac:dyDescent="0.25">
      <c r="A2" s="102"/>
      <c r="B2" s="419" t="s">
        <v>428</v>
      </c>
      <c r="C2" s="420"/>
      <c r="D2" s="421" t="s">
        <v>285</v>
      </c>
      <c r="E2" s="422">
        <f>E15+E19+E28</f>
        <v>1.9042329106835818E-2</v>
      </c>
      <c r="F2" s="423" t="s">
        <v>11</v>
      </c>
      <c r="G2" s="424">
        <f>G15+G19+G28</f>
        <v>1.9042329106835818E-2</v>
      </c>
      <c r="H2" s="413">
        <f t="shared" ref="H2:H28" si="0">G2-E2</f>
        <v>0</v>
      </c>
    </row>
    <row r="3" spans="1:8" x14ac:dyDescent="0.25">
      <c r="A3" s="102"/>
      <c r="B3" s="430" t="s">
        <v>451</v>
      </c>
      <c r="C3" s="123"/>
      <c r="D3" s="431"/>
      <c r="E3" s="432"/>
      <c r="G3" s="441"/>
      <c r="H3" s="351"/>
    </row>
    <row r="4" spans="1:8" x14ac:dyDescent="0.25">
      <c r="A4" s="349" t="s">
        <v>342</v>
      </c>
      <c r="B4" s="243" t="s">
        <v>188</v>
      </c>
      <c r="C4" s="8"/>
      <c r="D4" s="334"/>
      <c r="E4" s="340">
        <f>'Parrilla de Aireación '!E74</f>
        <v>25.328159845251612</v>
      </c>
      <c r="F4" s="306" t="s">
        <v>8</v>
      </c>
      <c r="G4" s="611">
        <f>'[2]Parrilla de Aireación '!G74</f>
        <v>25.328159845251612</v>
      </c>
      <c r="H4" s="413">
        <f t="shared" si="0"/>
        <v>0</v>
      </c>
    </row>
    <row r="5" spans="1:8" x14ac:dyDescent="0.25">
      <c r="A5" s="336" t="s">
        <v>319</v>
      </c>
      <c r="B5" s="533" t="s">
        <v>23</v>
      </c>
      <c r="C5" s="534"/>
      <c r="D5" s="535"/>
      <c r="E5" s="536">
        <f>0.5+0.6+2</f>
        <v>3.1</v>
      </c>
      <c r="F5" s="537" t="s">
        <v>4</v>
      </c>
      <c r="G5" s="612">
        <f>0.5+0.6+2</f>
        <v>3.1</v>
      </c>
      <c r="H5" s="413">
        <f t="shared" si="0"/>
        <v>0</v>
      </c>
    </row>
    <row r="6" spans="1:8" x14ac:dyDescent="0.25">
      <c r="A6" s="345"/>
      <c r="B6" s="538" t="s">
        <v>99</v>
      </c>
      <c r="C6" s="534"/>
      <c r="D6" s="535"/>
      <c r="E6" s="536">
        <v>2.5</v>
      </c>
      <c r="F6" s="520" t="s">
        <v>9</v>
      </c>
      <c r="G6" s="612">
        <v>2.5</v>
      </c>
      <c r="H6" s="413">
        <f t="shared" si="0"/>
        <v>0</v>
      </c>
    </row>
    <row r="7" spans="1:8" x14ac:dyDescent="0.25">
      <c r="A7" s="345"/>
      <c r="B7" s="341" t="s">
        <v>100</v>
      </c>
      <c r="C7" s="151"/>
      <c r="D7" s="334"/>
      <c r="E7" s="293">
        <f>0.001*E4/(0.25*3.14*(0.0254*E6)^2)</f>
        <v>8.0017786043500738</v>
      </c>
      <c r="F7" s="12" t="s">
        <v>2</v>
      </c>
      <c r="G7" s="458">
        <f>0.001*G4/(0.25*3.14*(0.0254*G6)^2)</f>
        <v>8.0017786043500738</v>
      </c>
      <c r="H7" s="413">
        <f t="shared" si="0"/>
        <v>0</v>
      </c>
    </row>
    <row r="8" spans="1:8" x14ac:dyDescent="0.25">
      <c r="A8" s="345"/>
      <c r="B8" s="341" t="s">
        <v>429</v>
      </c>
      <c r="C8" s="151"/>
      <c r="D8" s="334"/>
      <c r="E8" s="342">
        <f>'Parrilla de Aireación '!E18</f>
        <v>25</v>
      </c>
      <c r="F8" s="12" t="s">
        <v>27</v>
      </c>
      <c r="G8" s="613">
        <f>'[2]Parrilla de Aireación '!G18</f>
        <v>25</v>
      </c>
      <c r="H8" s="413">
        <f t="shared" si="0"/>
        <v>0</v>
      </c>
    </row>
    <row r="9" spans="1:8" x14ac:dyDescent="0.25">
      <c r="A9" s="581" t="s">
        <v>325</v>
      </c>
      <c r="B9" s="341" t="s">
        <v>430</v>
      </c>
      <c r="C9" s="151"/>
      <c r="D9" s="334"/>
      <c r="E9" s="600">
        <f>VLOOKUP(ROUND(E8,0),'Agua-T(°C)'!B6:H46,4)</f>
        <v>8.9356453020167885E-7</v>
      </c>
      <c r="F9" s="12"/>
      <c r="G9" s="614">
        <f>VLOOKUP(ROUND(G8,0),'Agua-T(°C)'!B6:H46,4)</f>
        <v>8.9356453020167885E-7</v>
      </c>
      <c r="H9" s="413">
        <f t="shared" si="0"/>
        <v>0</v>
      </c>
    </row>
    <row r="10" spans="1:8" x14ac:dyDescent="0.25">
      <c r="A10" s="345"/>
      <c r="B10" s="341" t="s">
        <v>431</v>
      </c>
      <c r="C10" s="151"/>
      <c r="D10" s="334"/>
      <c r="E10" s="600">
        <f>0.0254*E6*E7/E9</f>
        <v>568635.97893881018</v>
      </c>
      <c r="F10" s="12"/>
      <c r="G10" s="614">
        <f>0.0254*G6*G7/G9</f>
        <v>568635.97893881018</v>
      </c>
      <c r="H10" s="413">
        <f t="shared" si="0"/>
        <v>0</v>
      </c>
    </row>
    <row r="11" spans="1:8" ht="18" x14ac:dyDescent="0.25">
      <c r="A11" s="345"/>
      <c r="B11" s="341" t="s">
        <v>445</v>
      </c>
      <c r="C11" s="151"/>
      <c r="D11" s="334"/>
      <c r="E11" s="342">
        <v>0</v>
      </c>
      <c r="F11" s="12"/>
      <c r="G11" s="613">
        <v>0</v>
      </c>
      <c r="H11" s="413">
        <f t="shared" si="0"/>
        <v>0</v>
      </c>
    </row>
    <row r="12" spans="1:8" x14ac:dyDescent="0.25">
      <c r="A12" s="349" t="s">
        <v>432</v>
      </c>
      <c r="B12" s="341" t="s">
        <v>433</v>
      </c>
      <c r="C12" s="151"/>
      <c r="D12" s="601" t="s">
        <v>434</v>
      </c>
      <c r="E12" s="602">
        <v>1.4999999999999999E-2</v>
      </c>
      <c r="F12" s="12"/>
      <c r="G12" s="615">
        <v>1.4999999999999999E-2</v>
      </c>
      <c r="H12" s="413">
        <f t="shared" si="0"/>
        <v>0</v>
      </c>
    </row>
    <row r="13" spans="1:8" x14ac:dyDescent="0.25">
      <c r="A13" s="349" t="s">
        <v>342</v>
      </c>
      <c r="B13" s="341" t="s">
        <v>435</v>
      </c>
      <c r="C13" s="151"/>
      <c r="D13" s="334"/>
      <c r="E13" s="293">
        <f>'Parrilla de Aireación '!E78*('Parrilla de Aireación '!E72+'Parrilla de Aireación '!E61)/'Parrilla de Aireación '!E76</f>
        <v>1.2471515007996019</v>
      </c>
      <c r="F13" s="12" t="s">
        <v>37</v>
      </c>
      <c r="G13" s="413">
        <f>'Parrilla de Aireación '!G91</f>
        <v>1.2471515007996019</v>
      </c>
      <c r="H13" s="413">
        <f t="shared" si="0"/>
        <v>0</v>
      </c>
    </row>
    <row r="14" spans="1:8" x14ac:dyDescent="0.25">
      <c r="A14" s="345"/>
      <c r="B14" s="341" t="s">
        <v>10</v>
      </c>
      <c r="C14" s="151"/>
      <c r="D14" s="231" t="s">
        <v>3</v>
      </c>
      <c r="E14" s="600">
        <f>(E13/1000)*E7^2/19.6</f>
        <v>4.0741423990718183E-3</v>
      </c>
      <c r="F14" s="12" t="s">
        <v>11</v>
      </c>
      <c r="G14" s="614">
        <f>(G13/1000)*G7^2/19.6</f>
        <v>4.0741423990718183E-3</v>
      </c>
      <c r="H14" s="413">
        <f t="shared" si="0"/>
        <v>0</v>
      </c>
    </row>
    <row r="15" spans="1:8" x14ac:dyDescent="0.25">
      <c r="A15" s="107" t="s">
        <v>436</v>
      </c>
      <c r="B15" s="344" t="s">
        <v>24</v>
      </c>
      <c r="C15" s="318"/>
      <c r="D15" s="334"/>
      <c r="E15" s="603">
        <f>E12*(E5/(0.0254*E6)*E14)</f>
        <v>2.983427111131331E-3</v>
      </c>
      <c r="F15" s="426" t="s">
        <v>11</v>
      </c>
      <c r="G15" s="616">
        <f>G12*(G5/(0.0254*G6)*G14)</f>
        <v>2.983427111131331E-3</v>
      </c>
      <c r="H15" s="413">
        <f t="shared" si="0"/>
        <v>0</v>
      </c>
    </row>
    <row r="16" spans="1:8" x14ac:dyDescent="0.25">
      <c r="A16" s="345"/>
      <c r="B16" s="350" t="s">
        <v>34</v>
      </c>
      <c r="C16" s="427" t="s">
        <v>437</v>
      </c>
      <c r="D16" s="427" t="s">
        <v>104</v>
      </c>
      <c r="E16" s="604" t="s">
        <v>399</v>
      </c>
      <c r="F16" s="12"/>
      <c r="G16" s="604" t="s">
        <v>399</v>
      </c>
      <c r="H16" s="413"/>
    </row>
    <row r="17" spans="1:13" x14ac:dyDescent="0.25">
      <c r="A17" s="583" t="s">
        <v>444</v>
      </c>
      <c r="B17" s="158" t="s">
        <v>286</v>
      </c>
      <c r="C17" s="100">
        <v>0.42</v>
      </c>
      <c r="D17" s="100">
        <v>3</v>
      </c>
      <c r="E17" s="605">
        <f>C17*D17*E14</f>
        <v>5.1334194228304913E-3</v>
      </c>
      <c r="F17" s="12" t="s">
        <v>11</v>
      </c>
      <c r="G17" s="605">
        <f>C17*D17*G14</f>
        <v>5.1334194228304913E-3</v>
      </c>
      <c r="H17" s="413">
        <f t="shared" si="0"/>
        <v>0</v>
      </c>
    </row>
    <row r="18" spans="1:13" x14ac:dyDescent="0.25">
      <c r="A18" s="107" t="s">
        <v>444</v>
      </c>
      <c r="B18" s="158" t="s">
        <v>339</v>
      </c>
      <c r="C18" s="100">
        <v>1.33</v>
      </c>
      <c r="D18" s="100">
        <v>1</v>
      </c>
      <c r="E18" s="605">
        <f>C18*D18*E14</f>
        <v>5.4186093907655185E-3</v>
      </c>
      <c r="F18" s="12" t="s">
        <v>11</v>
      </c>
      <c r="G18" s="605">
        <f>C18*D18*G14</f>
        <v>5.4186093907655185E-3</v>
      </c>
      <c r="H18" s="413">
        <f t="shared" si="0"/>
        <v>0</v>
      </c>
    </row>
    <row r="19" spans="1:13" x14ac:dyDescent="0.25">
      <c r="A19" s="349"/>
      <c r="B19" s="158" t="s">
        <v>174</v>
      </c>
      <c r="C19" s="100"/>
      <c r="D19" s="100"/>
      <c r="E19" s="605">
        <f>E17+E18</f>
        <v>1.055202881359601E-2</v>
      </c>
      <c r="F19" s="12" t="s">
        <v>11</v>
      </c>
      <c r="G19" s="605">
        <f>G17+G18</f>
        <v>1.055202881359601E-2</v>
      </c>
      <c r="H19" s="413">
        <f t="shared" si="0"/>
        <v>0</v>
      </c>
    </row>
    <row r="20" spans="1:13" x14ac:dyDescent="0.25">
      <c r="A20" s="345"/>
      <c r="B20" s="430" t="s">
        <v>450</v>
      </c>
      <c r="C20" s="123"/>
      <c r="D20" s="431"/>
      <c r="E20" s="432"/>
      <c r="F20" s="433"/>
      <c r="G20" s="441"/>
      <c r="H20" s="351"/>
    </row>
    <row r="21" spans="1:13" ht="18.75" x14ac:dyDescent="0.35">
      <c r="A21" s="345"/>
      <c r="B21" s="113" t="s">
        <v>101</v>
      </c>
      <c r="C21" s="12" t="s">
        <v>102</v>
      </c>
      <c r="D21" s="12" t="s">
        <v>158</v>
      </c>
      <c r="E21" s="343">
        <v>150</v>
      </c>
      <c r="F21" s="425"/>
      <c r="G21" s="463">
        <v>150</v>
      </c>
      <c r="H21" s="413">
        <f t="shared" si="0"/>
        <v>0</v>
      </c>
    </row>
    <row r="22" spans="1:13" x14ac:dyDescent="0.25">
      <c r="A22" s="102"/>
      <c r="B22" s="243" t="s">
        <v>282</v>
      </c>
      <c r="C22" s="8"/>
      <c r="D22" s="334"/>
      <c r="E22" s="340">
        <f>E4/2</f>
        <v>12.664079922625806</v>
      </c>
      <c r="F22" s="306" t="s">
        <v>8</v>
      </c>
      <c r="G22" s="611">
        <f>G4/2</f>
        <v>12.664079922625806</v>
      </c>
      <c r="H22" s="413">
        <f t="shared" si="0"/>
        <v>0</v>
      </c>
    </row>
    <row r="23" spans="1:13" x14ac:dyDescent="0.25">
      <c r="A23" s="336" t="s">
        <v>319</v>
      </c>
      <c r="B23" s="533" t="s">
        <v>438</v>
      </c>
      <c r="C23" s="534"/>
      <c r="D23" s="632" t="s">
        <v>448</v>
      </c>
      <c r="E23" s="536">
        <v>5</v>
      </c>
      <c r="F23" s="537" t="s">
        <v>4</v>
      </c>
      <c r="G23" s="612">
        <v>5</v>
      </c>
      <c r="H23" s="413">
        <f t="shared" si="0"/>
        <v>0</v>
      </c>
    </row>
    <row r="24" spans="1:13" x14ac:dyDescent="0.25">
      <c r="A24" s="336" t="s">
        <v>319</v>
      </c>
      <c r="B24" s="538" t="s">
        <v>99</v>
      </c>
      <c r="C24" s="534"/>
      <c r="D24" s="632" t="s">
        <v>242</v>
      </c>
      <c r="E24" s="536">
        <v>2</v>
      </c>
      <c r="F24" s="520" t="s">
        <v>9</v>
      </c>
      <c r="G24" s="612">
        <v>2</v>
      </c>
      <c r="H24" s="413">
        <f t="shared" si="0"/>
        <v>0</v>
      </c>
    </row>
    <row r="25" spans="1:13" x14ac:dyDescent="0.25">
      <c r="A25" s="102"/>
      <c r="B25" s="341" t="s">
        <v>431</v>
      </c>
      <c r="C25" s="151"/>
      <c r="D25" s="129" t="s">
        <v>449</v>
      </c>
      <c r="E25" s="600">
        <f>0.0254*E24*E23/E9</f>
        <v>284254.79236812569</v>
      </c>
      <c r="F25" s="12"/>
      <c r="G25" s="614">
        <f>0.0254*G24*G23/G9</f>
        <v>284254.79236812569</v>
      </c>
      <c r="H25" s="413">
        <f t="shared" si="0"/>
        <v>0</v>
      </c>
    </row>
    <row r="26" spans="1:13" x14ac:dyDescent="0.25">
      <c r="A26" s="349" t="s">
        <v>432</v>
      </c>
      <c r="B26" s="341" t="s">
        <v>433</v>
      </c>
      <c r="C26" s="151"/>
      <c r="D26" s="601" t="s">
        <v>434</v>
      </c>
      <c r="E26" s="602">
        <v>1.7999999999999999E-2</v>
      </c>
      <c r="F26" s="12"/>
      <c r="G26" s="615">
        <v>1.7999999999999999E-2</v>
      </c>
      <c r="H26" s="413">
        <f t="shared" si="0"/>
        <v>0</v>
      </c>
    </row>
    <row r="27" spans="1:13" x14ac:dyDescent="0.25">
      <c r="A27" s="336" t="s">
        <v>319</v>
      </c>
      <c r="B27" s="158" t="s">
        <v>163</v>
      </c>
      <c r="C27" s="8"/>
      <c r="D27" s="334"/>
      <c r="E27" s="163">
        <v>2</v>
      </c>
      <c r="F27" s="306"/>
      <c r="G27" s="412">
        <v>2</v>
      </c>
      <c r="H27" s="413">
        <f t="shared" si="0"/>
        <v>0</v>
      </c>
    </row>
    <row r="28" spans="1:13" x14ac:dyDescent="0.25">
      <c r="A28" s="102"/>
      <c r="B28" s="341" t="s">
        <v>314</v>
      </c>
      <c r="C28" s="151"/>
      <c r="E28" s="603">
        <f>SUM(F31:F38)</f>
        <v>5.5068731821084765E-3</v>
      </c>
      <c r="F28" s="12" t="s">
        <v>11</v>
      </c>
      <c r="G28" s="616">
        <f>SUM(G31:G38)</f>
        <v>5.5068731821084765E-3</v>
      </c>
      <c r="H28" s="413">
        <f t="shared" si="0"/>
        <v>0</v>
      </c>
      <c r="J28" s="44"/>
      <c r="L28" s="155"/>
      <c r="M28" s="156"/>
    </row>
    <row r="29" spans="1:13" ht="28.5" x14ac:dyDescent="0.25">
      <c r="B29" s="606" t="s">
        <v>171</v>
      </c>
      <c r="C29" s="606" t="s">
        <v>288</v>
      </c>
      <c r="D29" s="606" t="s">
        <v>439</v>
      </c>
      <c r="E29" s="606" t="s">
        <v>440</v>
      </c>
      <c r="F29" s="606" t="s">
        <v>287</v>
      </c>
      <c r="G29" s="606" t="s">
        <v>287</v>
      </c>
      <c r="J29" s="44"/>
      <c r="K29" s="44"/>
      <c r="L29" s="155"/>
      <c r="M29" s="156"/>
    </row>
    <row r="30" spans="1:13" x14ac:dyDescent="0.25">
      <c r="B30" s="607"/>
      <c r="C30" s="607" t="s">
        <v>8</v>
      </c>
      <c r="D30" s="607" t="s">
        <v>2</v>
      </c>
      <c r="E30" s="607" t="s">
        <v>2</v>
      </c>
      <c r="F30" s="607" t="s">
        <v>11</v>
      </c>
      <c r="G30" s="607" t="s">
        <v>11</v>
      </c>
      <c r="J30" s="44"/>
      <c r="K30" s="44"/>
      <c r="L30" s="155"/>
      <c r="M30" s="156"/>
    </row>
    <row r="31" spans="1:13" ht="15" customHeight="1" x14ac:dyDescent="0.25">
      <c r="B31" s="137">
        <v>1</v>
      </c>
      <c r="C31" s="135">
        <f>E22</f>
        <v>12.664079922625806</v>
      </c>
      <c r="D31" s="608">
        <f>0.001*C31/(0.25*3.14*(0.0254*$E$24)^2)</f>
        <v>6.2513895346484958</v>
      </c>
      <c r="E31" s="136">
        <f>($E$13/1000)*D31^2/19.6</f>
        <v>2.4866591791209832E-3</v>
      </c>
      <c r="F31" s="136">
        <f t="shared" ref="F31:F38" si="1">$E$26*($E$23/(0.0254*$E$24))*E31</f>
        <v>4.4054985456867812E-3</v>
      </c>
      <c r="G31" s="136">
        <f>$G$26*($G$23/(0.0254*$G$24))*E31</f>
        <v>4.4054985456867812E-3</v>
      </c>
      <c r="H31" s="413">
        <f>F31-G31</f>
        <v>0</v>
      </c>
      <c r="J31" s="44"/>
      <c r="K31" s="44"/>
      <c r="L31" s="155"/>
      <c r="M31" s="156"/>
    </row>
    <row r="32" spans="1:13" ht="15" customHeight="1" x14ac:dyDescent="0.25">
      <c r="B32" s="137">
        <f>B31+1</f>
        <v>2</v>
      </c>
      <c r="C32" s="135">
        <f t="shared" ref="C32:C38" si="2">MAX(0,C31-$E$22/$E$27)</f>
        <v>6.332039961312903</v>
      </c>
      <c r="D32" s="608">
        <f>0.001*C32/(0.25*3.14*(0.0254*$E$24)^2)</f>
        <v>3.1256947673242479</v>
      </c>
      <c r="E32" s="136">
        <f t="shared" ref="E32:E38" si="3">($E$13/1000)*D32^2/19.6</f>
        <v>6.2166479478024581E-4</v>
      </c>
      <c r="F32" s="136">
        <f t="shared" si="1"/>
        <v>1.1013746364216953E-3</v>
      </c>
      <c r="G32" s="136">
        <f t="shared" ref="G32:G38" si="4">$G$26*($G$23/(0.0254*$G$24))*E32</f>
        <v>1.1013746364216953E-3</v>
      </c>
      <c r="H32" s="413">
        <f t="shared" ref="H32:H38" si="5">F32-G32</f>
        <v>0</v>
      </c>
      <c r="J32" s="44"/>
      <c r="K32" s="44"/>
      <c r="L32" s="155"/>
      <c r="M32" s="156"/>
    </row>
    <row r="33" spans="2:8" x14ac:dyDescent="0.25">
      <c r="B33" s="137">
        <f t="shared" ref="B33:B38" si="6">B32+1</f>
        <v>3</v>
      </c>
      <c r="C33" s="135">
        <f t="shared" si="2"/>
        <v>0</v>
      </c>
      <c r="D33" s="608">
        <f t="shared" ref="D33:D38" si="7">0.001*C33/(0.25*3.14*(0.0254*$E$24)^2)</f>
        <v>0</v>
      </c>
      <c r="E33" s="136">
        <f t="shared" si="3"/>
        <v>0</v>
      </c>
      <c r="F33" s="136">
        <f t="shared" si="1"/>
        <v>0</v>
      </c>
      <c r="G33" s="136">
        <f t="shared" si="4"/>
        <v>0</v>
      </c>
      <c r="H33" s="413">
        <f t="shared" si="5"/>
        <v>0</v>
      </c>
    </row>
    <row r="34" spans="2:8" x14ac:dyDescent="0.25">
      <c r="B34" s="137">
        <f t="shared" si="6"/>
        <v>4</v>
      </c>
      <c r="C34" s="135">
        <f t="shared" si="2"/>
        <v>0</v>
      </c>
      <c r="D34" s="608">
        <f t="shared" si="7"/>
        <v>0</v>
      </c>
      <c r="E34" s="136">
        <f t="shared" si="3"/>
        <v>0</v>
      </c>
      <c r="F34" s="136">
        <f t="shared" si="1"/>
        <v>0</v>
      </c>
      <c r="G34" s="136">
        <f t="shared" si="4"/>
        <v>0</v>
      </c>
      <c r="H34" s="413">
        <f t="shared" si="5"/>
        <v>0</v>
      </c>
    </row>
    <row r="35" spans="2:8" x14ac:dyDescent="0.25">
      <c r="B35" s="137">
        <f t="shared" si="6"/>
        <v>5</v>
      </c>
      <c r="C35" s="135">
        <f t="shared" si="2"/>
        <v>0</v>
      </c>
      <c r="D35" s="608">
        <f t="shared" si="7"/>
        <v>0</v>
      </c>
      <c r="E35" s="136">
        <f t="shared" si="3"/>
        <v>0</v>
      </c>
      <c r="F35" s="136">
        <f t="shared" si="1"/>
        <v>0</v>
      </c>
      <c r="G35" s="136">
        <f t="shared" si="4"/>
        <v>0</v>
      </c>
      <c r="H35" s="413">
        <f t="shared" si="5"/>
        <v>0</v>
      </c>
    </row>
    <row r="36" spans="2:8" x14ac:dyDescent="0.25">
      <c r="B36" s="137">
        <f t="shared" si="6"/>
        <v>6</v>
      </c>
      <c r="C36" s="135">
        <f t="shared" si="2"/>
        <v>0</v>
      </c>
      <c r="D36" s="608">
        <f t="shared" si="7"/>
        <v>0</v>
      </c>
      <c r="E36" s="136">
        <f t="shared" si="3"/>
        <v>0</v>
      </c>
      <c r="F36" s="136">
        <f t="shared" si="1"/>
        <v>0</v>
      </c>
      <c r="G36" s="136">
        <f t="shared" si="4"/>
        <v>0</v>
      </c>
      <c r="H36" s="413">
        <f t="shared" si="5"/>
        <v>0</v>
      </c>
    </row>
    <row r="37" spans="2:8" x14ac:dyDescent="0.25">
      <c r="B37" s="137">
        <f t="shared" si="6"/>
        <v>7</v>
      </c>
      <c r="C37" s="135">
        <f t="shared" si="2"/>
        <v>0</v>
      </c>
      <c r="D37" s="608">
        <f t="shared" si="7"/>
        <v>0</v>
      </c>
      <c r="E37" s="136">
        <f t="shared" si="3"/>
        <v>0</v>
      </c>
      <c r="F37" s="136">
        <f t="shared" si="1"/>
        <v>0</v>
      </c>
      <c r="G37" s="136">
        <f t="shared" si="4"/>
        <v>0</v>
      </c>
      <c r="H37" s="413">
        <f t="shared" si="5"/>
        <v>0</v>
      </c>
    </row>
    <row r="38" spans="2:8" x14ac:dyDescent="0.25">
      <c r="B38" s="137">
        <f t="shared" si="6"/>
        <v>8</v>
      </c>
      <c r="C38" s="135">
        <f t="shared" si="2"/>
        <v>0</v>
      </c>
      <c r="D38" s="608">
        <f t="shared" si="7"/>
        <v>0</v>
      </c>
      <c r="E38" s="136">
        <f t="shared" si="3"/>
        <v>0</v>
      </c>
      <c r="F38" s="136">
        <f t="shared" si="1"/>
        <v>0</v>
      </c>
      <c r="G38" s="136">
        <f t="shared" si="4"/>
        <v>0</v>
      </c>
      <c r="H38" s="413">
        <f t="shared" si="5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5D0C-0095-40F5-8344-DA72C40BA26E}">
  <dimension ref="A1:H69"/>
  <sheetViews>
    <sheetView showGridLines="0" zoomScale="75" zoomScaleNormal="75" workbookViewId="0">
      <selection activeCell="G19" sqref="G19"/>
    </sheetView>
  </sheetViews>
  <sheetFormatPr baseColWidth="10" defaultRowHeight="14.25" x14ac:dyDescent="0.2"/>
  <cols>
    <col min="1" max="1" width="20" style="43" customWidth="1"/>
    <col min="2" max="2" width="41.42578125" style="43" customWidth="1"/>
    <col min="3" max="3" width="48.85546875" style="43" customWidth="1"/>
    <col min="4" max="4" width="27.140625" style="50" customWidth="1"/>
    <col min="5" max="5" width="12" style="43" customWidth="1"/>
    <col min="6" max="6" width="7.28515625" style="43" customWidth="1"/>
    <col min="7" max="7" width="13.5703125" style="50" customWidth="1"/>
    <col min="8" max="8" width="14.28515625" style="43" customWidth="1"/>
    <col min="9" max="9" width="7.140625" style="43" customWidth="1"/>
    <col min="10" max="10" width="14" style="43" customWidth="1"/>
    <col min="11" max="11" width="18.28515625" style="43" customWidth="1"/>
    <col min="12" max="12" width="15.5703125" style="43" customWidth="1"/>
    <col min="13" max="16384" width="11.42578125" style="43"/>
  </cols>
  <sheetData>
    <row r="1" spans="1:8" ht="15.75" x14ac:dyDescent="0.25">
      <c r="B1" s="3"/>
      <c r="C1" s="304" t="s">
        <v>42</v>
      </c>
      <c r="D1" s="1"/>
      <c r="E1" s="2"/>
    </row>
    <row r="2" spans="1:8" x14ac:dyDescent="0.2">
      <c r="B2" s="3"/>
      <c r="C2" s="96" t="s">
        <v>388</v>
      </c>
      <c r="D2" s="1"/>
      <c r="E2" s="2"/>
    </row>
    <row r="3" spans="1:8" x14ac:dyDescent="0.2">
      <c r="B3" s="16"/>
      <c r="C3" s="4" t="s">
        <v>0</v>
      </c>
      <c r="D3" s="668"/>
      <c r="E3" s="2"/>
    </row>
    <row r="4" spans="1:8" x14ac:dyDescent="0.2">
      <c r="B4" s="16"/>
      <c r="C4" s="7" t="s">
        <v>106</v>
      </c>
      <c r="D4" s="669"/>
      <c r="F4" s="44"/>
      <c r="G4" s="54"/>
      <c r="H4" s="44"/>
    </row>
    <row r="5" spans="1:8" x14ac:dyDescent="0.2">
      <c r="B5" s="16"/>
      <c r="C5" s="80" t="s">
        <v>292</v>
      </c>
      <c r="D5" s="81"/>
      <c r="E5" s="2"/>
      <c r="F5" s="44"/>
      <c r="G5" s="54"/>
      <c r="H5" s="44"/>
    </row>
    <row r="6" spans="1:8" x14ac:dyDescent="0.2">
      <c r="B6" s="16"/>
      <c r="C6" s="670" t="s">
        <v>389</v>
      </c>
      <c r="D6" s="671"/>
      <c r="E6" s="2"/>
      <c r="F6" s="44"/>
      <c r="G6" s="54"/>
      <c r="H6" s="44"/>
    </row>
    <row r="7" spans="1:8" x14ac:dyDescent="0.2">
      <c r="B7" s="16"/>
      <c r="C7" s="74" t="s">
        <v>293</v>
      </c>
      <c r="D7" s="672"/>
      <c r="E7" s="2"/>
      <c r="F7" s="44"/>
      <c r="G7" s="54"/>
      <c r="H7" s="44"/>
    </row>
    <row r="8" spans="1:8" x14ac:dyDescent="0.2">
      <c r="B8" s="16"/>
      <c r="C8" s="32" t="s">
        <v>1</v>
      </c>
      <c r="D8" s="673"/>
      <c r="E8" s="2"/>
      <c r="F8" s="44"/>
      <c r="G8" s="54"/>
      <c r="H8" s="44"/>
    </row>
    <row r="9" spans="1:8" x14ac:dyDescent="0.2">
      <c r="B9" s="45"/>
      <c r="C9" s="82" t="s">
        <v>93</v>
      </c>
      <c r="D9" s="674"/>
      <c r="E9" s="2"/>
      <c r="F9" s="44"/>
      <c r="G9" s="54"/>
      <c r="H9" s="44"/>
    </row>
    <row r="10" spans="1:8" x14ac:dyDescent="0.2">
      <c r="B10" s="45"/>
      <c r="C10" s="113" t="s">
        <v>294</v>
      </c>
      <c r="D10" s="111"/>
      <c r="E10" s="2"/>
      <c r="F10" s="44"/>
      <c r="G10" s="54"/>
      <c r="H10" s="44"/>
    </row>
    <row r="11" spans="1:8" ht="33" customHeight="1" x14ac:dyDescent="0.25">
      <c r="A11" s="414" t="s">
        <v>425</v>
      </c>
      <c r="B11" s="414" t="s">
        <v>113</v>
      </c>
      <c r="C11" s="113"/>
      <c r="D11" s="334"/>
      <c r="E11" s="334"/>
      <c r="F11" s="351"/>
      <c r="G11" s="414" t="s">
        <v>390</v>
      </c>
      <c r="H11" s="415" t="s">
        <v>391</v>
      </c>
    </row>
    <row r="12" spans="1:8" ht="15.75" x14ac:dyDescent="0.2">
      <c r="A12" s="316"/>
      <c r="B12" s="414"/>
      <c r="C12" s="723" t="s">
        <v>229</v>
      </c>
      <c r="D12" s="723"/>
      <c r="E12" s="723"/>
      <c r="F12" s="723"/>
      <c r="G12" s="675"/>
      <c r="H12" s="676"/>
    </row>
    <row r="13" spans="1:8" ht="15" x14ac:dyDescent="0.25">
      <c r="A13" s="316"/>
      <c r="B13" s="316"/>
      <c r="C13" s="17" t="s">
        <v>478</v>
      </c>
      <c r="D13" s="191"/>
      <c r="E13" s="648"/>
      <c r="F13" s="14"/>
      <c r="G13" s="127"/>
      <c r="H13" s="677"/>
    </row>
    <row r="14" spans="1:8" ht="15" customHeight="1" x14ac:dyDescent="0.2">
      <c r="A14" s="316"/>
      <c r="B14" s="678" t="s">
        <v>295</v>
      </c>
      <c r="C14" s="507" t="s">
        <v>479</v>
      </c>
      <c r="D14" s="53" t="s">
        <v>480</v>
      </c>
      <c r="E14" s="52">
        <v>0.25</v>
      </c>
      <c r="F14" s="507"/>
      <c r="G14" s="478">
        <v>0.25</v>
      </c>
      <c r="H14" s="437">
        <f t="shared" ref="H14:H40" si="0">G14-E14</f>
        <v>0</v>
      </c>
    </row>
    <row r="15" spans="1:8" ht="15" customHeight="1" x14ac:dyDescent="0.2">
      <c r="A15" s="316"/>
      <c r="B15" s="679"/>
      <c r="C15" s="521" t="s">
        <v>230</v>
      </c>
      <c r="D15" s="197"/>
      <c r="E15" s="99">
        <f>DEGREES(ATAN(E14))</f>
        <v>14.036243467926479</v>
      </c>
      <c r="F15" s="12" t="s">
        <v>231</v>
      </c>
      <c r="G15" s="412">
        <f>DEGREES(ATAN(G14))</f>
        <v>14.036243467926479</v>
      </c>
      <c r="H15" s="437">
        <f t="shared" si="0"/>
        <v>0</v>
      </c>
    </row>
    <row r="16" spans="1:8" ht="15" customHeight="1" x14ac:dyDescent="0.2">
      <c r="A16" s="316"/>
      <c r="B16" s="679" t="s">
        <v>505</v>
      </c>
      <c r="C16" s="531" t="s">
        <v>239</v>
      </c>
      <c r="D16" s="203" t="s">
        <v>481</v>
      </c>
      <c r="E16" s="204">
        <v>3</v>
      </c>
      <c r="F16" s="531" t="s">
        <v>9</v>
      </c>
      <c r="G16" s="680">
        <v>3</v>
      </c>
      <c r="H16" s="437">
        <f t="shared" si="0"/>
        <v>0</v>
      </c>
    </row>
    <row r="17" spans="1:8" ht="15" customHeight="1" x14ac:dyDescent="0.2">
      <c r="A17" s="316"/>
      <c r="B17" s="679"/>
      <c r="C17" s="532"/>
      <c r="D17" s="201"/>
      <c r="E17" s="202">
        <f>E16*2.54</f>
        <v>7.62</v>
      </c>
      <c r="F17" s="532" t="s">
        <v>170</v>
      </c>
      <c r="G17" s="681">
        <f>G16*2.54</f>
        <v>7.62</v>
      </c>
      <c r="H17" s="499">
        <f t="shared" si="0"/>
        <v>0</v>
      </c>
    </row>
    <row r="18" spans="1:8" ht="15" customHeight="1" x14ac:dyDescent="0.2">
      <c r="A18" s="316"/>
      <c r="B18" s="678" t="s">
        <v>295</v>
      </c>
      <c r="C18" s="507" t="s">
        <v>503</v>
      </c>
      <c r="D18" s="53" t="s">
        <v>234</v>
      </c>
      <c r="E18" s="19">
        <v>5</v>
      </c>
      <c r="F18" s="507" t="s">
        <v>170</v>
      </c>
      <c r="G18" s="470">
        <v>5</v>
      </c>
      <c r="H18" s="437">
        <f t="shared" si="0"/>
        <v>0</v>
      </c>
    </row>
    <row r="19" spans="1:8" ht="15" customHeight="1" x14ac:dyDescent="0.2">
      <c r="A19" s="316"/>
      <c r="B19" s="679"/>
      <c r="C19" s="510" t="s">
        <v>235</v>
      </c>
      <c r="D19" s="200" t="s">
        <v>247</v>
      </c>
      <c r="E19" s="198">
        <f>E18/(100*E14)</f>
        <v>0.2</v>
      </c>
      <c r="F19" s="306" t="s">
        <v>11</v>
      </c>
      <c r="G19" s="473">
        <f>G18/(100*G14)</f>
        <v>0.2</v>
      </c>
      <c r="H19" s="437">
        <f>G19-E19</f>
        <v>0</v>
      </c>
    </row>
    <row r="20" spans="1:8" ht="15" customHeight="1" x14ac:dyDescent="0.2">
      <c r="A20" s="316"/>
      <c r="B20" s="678" t="s">
        <v>295</v>
      </c>
      <c r="C20" s="507" t="s">
        <v>482</v>
      </c>
      <c r="D20" s="53" t="s">
        <v>242</v>
      </c>
      <c r="E20" s="19">
        <v>0.56000000000000005</v>
      </c>
      <c r="F20" s="507" t="s">
        <v>11</v>
      </c>
      <c r="G20" s="470">
        <v>0.56000000000000005</v>
      </c>
      <c r="H20" s="437">
        <f>G20-E20</f>
        <v>0</v>
      </c>
    </row>
    <row r="21" spans="1:8" ht="15" customHeight="1" x14ac:dyDescent="0.2">
      <c r="A21" s="316"/>
      <c r="B21" s="678"/>
      <c r="C21" s="510" t="s">
        <v>236</v>
      </c>
      <c r="D21" s="200" t="s">
        <v>243</v>
      </c>
      <c r="E21" s="198">
        <f>E20/COS(RADIANS(E15))</f>
        <v>0.57723478758647251</v>
      </c>
      <c r="F21" s="306" t="s">
        <v>11</v>
      </c>
      <c r="G21" s="470">
        <f>G20/COS(RADIANS(G15))</f>
        <v>0.57723478758647251</v>
      </c>
      <c r="H21" s="437">
        <f>G21-E21</f>
        <v>0</v>
      </c>
    </row>
    <row r="22" spans="1:8" ht="15" customHeight="1" x14ac:dyDescent="0.2">
      <c r="A22" s="316"/>
      <c r="B22" s="678" t="s">
        <v>295</v>
      </c>
      <c r="C22" s="682" t="s">
        <v>483</v>
      </c>
      <c r="D22" s="207" t="str">
        <f>IF(E23&gt;E18,"suficiente","insuficiente ")</f>
        <v>suficiente</v>
      </c>
      <c r="E22" s="130">
        <v>25</v>
      </c>
      <c r="F22" s="94" t="s">
        <v>170</v>
      </c>
      <c r="G22" s="463">
        <v>25</v>
      </c>
      <c r="H22" s="437">
        <f t="shared" si="0"/>
        <v>0</v>
      </c>
    </row>
    <row r="23" spans="1:8" ht="15" customHeight="1" x14ac:dyDescent="0.2">
      <c r="A23" s="316"/>
      <c r="B23" s="679"/>
      <c r="C23" s="306" t="s">
        <v>502</v>
      </c>
      <c r="D23" s="197" t="s">
        <v>484</v>
      </c>
      <c r="E23" s="206">
        <f>E22*COS(RADIANS(E15))</f>
        <v>24.253562503633297</v>
      </c>
      <c r="F23" s="12" t="s">
        <v>170</v>
      </c>
      <c r="G23" s="470">
        <f>G22*COS(RADIANS(G15))</f>
        <v>24.253562503633297</v>
      </c>
      <c r="H23" s="437">
        <f t="shared" si="0"/>
        <v>0</v>
      </c>
    </row>
    <row r="24" spans="1:8" ht="15" customHeight="1" x14ac:dyDescent="0.2">
      <c r="A24" s="316"/>
      <c r="B24" s="679" t="s">
        <v>506</v>
      </c>
      <c r="C24" s="682" t="s">
        <v>232</v>
      </c>
      <c r="D24" s="94"/>
      <c r="E24" s="130">
        <f>VLOOKUP(E16,'[3]Datos Escalera'!A4:C9,2)</f>
        <v>0.99199999999999999</v>
      </c>
      <c r="F24" s="94"/>
      <c r="G24" s="463">
        <f>VLOOKUP(G16,'[3]Datos Escalera'!A4:C7,2)</f>
        <v>0.99199999999999999</v>
      </c>
      <c r="H24" s="437">
        <f t="shared" si="0"/>
        <v>0</v>
      </c>
    </row>
    <row r="25" spans="1:8" ht="15" customHeight="1" x14ac:dyDescent="0.2">
      <c r="A25" s="316"/>
      <c r="B25" s="679" t="s">
        <v>506</v>
      </c>
      <c r="C25" s="682" t="s">
        <v>233</v>
      </c>
      <c r="D25" s="94"/>
      <c r="E25" s="130">
        <f>VLOOKUP(E16,'[3]Datos Escalera'!A4:C7,3)</f>
        <v>1.55</v>
      </c>
      <c r="F25" s="94"/>
      <c r="G25" s="463">
        <f>VLOOKUP(G16,'[3]Datos Escalera'!A4:C7,3)</f>
        <v>1.55</v>
      </c>
      <c r="H25" s="437">
        <f t="shared" si="0"/>
        <v>0</v>
      </c>
    </row>
    <row r="26" spans="1:8" ht="15" customHeight="1" x14ac:dyDescent="0.2">
      <c r="A26" s="316"/>
      <c r="B26" s="679" t="s">
        <v>485</v>
      </c>
      <c r="C26" s="186" t="s">
        <v>504</v>
      </c>
      <c r="D26" s="183"/>
      <c r="E26" s="184">
        <f>1000*E24*(E18/100)^E25</f>
        <v>9.5480608667806166</v>
      </c>
      <c r="F26" s="399" t="s">
        <v>8</v>
      </c>
      <c r="G26" s="477">
        <f>1000*G24*(G18/100)^G25</f>
        <v>9.5480608667806166</v>
      </c>
      <c r="H26" s="437">
        <f t="shared" si="0"/>
        <v>0</v>
      </c>
    </row>
    <row r="27" spans="1:8" ht="15" customHeight="1" x14ac:dyDescent="0.2">
      <c r="A27" s="316"/>
      <c r="B27" s="679"/>
      <c r="C27" s="683" t="s">
        <v>245</v>
      </c>
      <c r="D27" s="79"/>
      <c r="E27" s="51">
        <f>0.001*E26/(E17*E18/10000)</f>
        <v>2.5060527209397945</v>
      </c>
      <c r="F27" s="684" t="s">
        <v>2</v>
      </c>
      <c r="G27" s="412">
        <f>0.001*G26/(G18*G17/10000)</f>
        <v>2.5060527209397945</v>
      </c>
      <c r="H27" s="437">
        <f t="shared" si="0"/>
        <v>0</v>
      </c>
    </row>
    <row r="28" spans="1:8" ht="15" customHeight="1" x14ac:dyDescent="0.2">
      <c r="A28" s="316"/>
      <c r="B28" s="679"/>
      <c r="C28" s="510" t="s">
        <v>241</v>
      </c>
      <c r="D28" s="200" t="s">
        <v>244</v>
      </c>
      <c r="E28" s="198">
        <f>E14*E20</f>
        <v>0.14000000000000001</v>
      </c>
      <c r="F28" s="306" t="s">
        <v>11</v>
      </c>
      <c r="G28" s="473">
        <f>G14*G20</f>
        <v>0.14000000000000001</v>
      </c>
      <c r="H28" s="437">
        <f t="shared" si="0"/>
        <v>0</v>
      </c>
    </row>
    <row r="29" spans="1:8" ht="15" customHeight="1" x14ac:dyDescent="0.2">
      <c r="A29" s="316"/>
      <c r="B29" s="678" t="s">
        <v>295</v>
      </c>
      <c r="C29" s="507" t="s">
        <v>486</v>
      </c>
      <c r="D29" s="53" t="s">
        <v>487</v>
      </c>
      <c r="E29" s="19">
        <v>0.19</v>
      </c>
      <c r="F29" s="507" t="s">
        <v>11</v>
      </c>
      <c r="G29" s="435">
        <v>0.19</v>
      </c>
      <c r="H29" s="437">
        <f t="shared" si="0"/>
        <v>0</v>
      </c>
    </row>
    <row r="30" spans="1:8" ht="15" customHeight="1" x14ac:dyDescent="0.2">
      <c r="A30" s="316"/>
      <c r="B30" s="678"/>
      <c r="C30" s="510" t="s">
        <v>488</v>
      </c>
      <c r="D30" s="200"/>
      <c r="E30" s="198">
        <f>3.14*E29/2</f>
        <v>0.29830000000000001</v>
      </c>
      <c r="F30" s="306" t="s">
        <v>11</v>
      </c>
      <c r="G30" s="413">
        <f>3.14*G29/2</f>
        <v>0.29830000000000001</v>
      </c>
      <c r="H30" s="437">
        <f t="shared" si="0"/>
        <v>0</v>
      </c>
    </row>
    <row r="31" spans="1:8" ht="15" customHeight="1" x14ac:dyDescent="0.2">
      <c r="A31" s="316"/>
      <c r="B31" s="679" t="s">
        <v>505</v>
      </c>
      <c r="C31" s="510" t="s">
        <v>489</v>
      </c>
      <c r="D31" s="200"/>
      <c r="E31" s="198">
        <v>1</v>
      </c>
      <c r="F31" s="306" t="s">
        <v>11</v>
      </c>
      <c r="G31" s="413">
        <v>1</v>
      </c>
      <c r="H31" s="437">
        <f t="shared" si="0"/>
        <v>0</v>
      </c>
    </row>
    <row r="32" spans="1:8" ht="15" customHeight="1" x14ac:dyDescent="0.2">
      <c r="A32" s="316"/>
      <c r="B32" s="678"/>
      <c r="C32" s="94" t="s">
        <v>237</v>
      </c>
      <c r="D32" s="685"/>
      <c r="E32" s="686">
        <f>(E31-E30)+E29/2</f>
        <v>0.79669999999999996</v>
      </c>
      <c r="F32" s="94" t="s">
        <v>11</v>
      </c>
      <c r="G32" s="687">
        <f>(G31-G30)+G29/2</f>
        <v>0.79669999999999996</v>
      </c>
      <c r="H32" s="437">
        <f t="shared" si="0"/>
        <v>0</v>
      </c>
    </row>
    <row r="33" spans="1:8" ht="15" customHeight="1" x14ac:dyDescent="0.2">
      <c r="A33" s="316"/>
      <c r="B33" s="679"/>
      <c r="C33" s="688" t="s">
        <v>490</v>
      </c>
      <c r="D33" s="689" t="str">
        <f>IF(E33&lt;E17,"menos  S y más  D","suficiente ")</f>
        <v xml:space="preserve">suficiente </v>
      </c>
      <c r="E33" s="690">
        <f>100*(E21-E29)</f>
        <v>38.723478758647254</v>
      </c>
      <c r="F33" s="691" t="s">
        <v>170</v>
      </c>
      <c r="G33" s="473">
        <f>100*(G21-G29)</f>
        <v>38.723478758647254</v>
      </c>
      <c r="H33" s="437">
        <f t="shared" si="0"/>
        <v>0</v>
      </c>
    </row>
    <row r="34" spans="1:8" ht="15" customHeight="1" x14ac:dyDescent="0.2">
      <c r="A34" s="316"/>
      <c r="B34" s="679"/>
      <c r="C34" s="399" t="s">
        <v>238</v>
      </c>
      <c r="D34" s="183" t="s">
        <v>248</v>
      </c>
      <c r="E34" s="184">
        <f>E32+E17/100</f>
        <v>0.87290000000000001</v>
      </c>
      <c r="F34" s="399" t="s">
        <v>11</v>
      </c>
      <c r="G34" s="477">
        <f>G32+G17/100</f>
        <v>0.87290000000000001</v>
      </c>
      <c r="H34" s="437">
        <f t="shared" si="0"/>
        <v>0</v>
      </c>
    </row>
    <row r="35" spans="1:8" ht="15" customHeight="1" x14ac:dyDescent="0.2">
      <c r="A35" s="316"/>
      <c r="B35" s="679" t="s">
        <v>505</v>
      </c>
      <c r="C35" s="507" t="s">
        <v>491</v>
      </c>
      <c r="D35" s="53"/>
      <c r="E35" s="19">
        <v>2.2000000000000002</v>
      </c>
      <c r="F35" s="507" t="s">
        <v>11</v>
      </c>
      <c r="G35" s="470">
        <v>2.2000000000000002</v>
      </c>
      <c r="H35" s="437">
        <f t="shared" si="0"/>
        <v>0</v>
      </c>
    </row>
    <row r="36" spans="1:8" ht="15" customHeight="1" x14ac:dyDescent="0.2">
      <c r="A36" s="316"/>
      <c r="B36" s="679"/>
      <c r="C36" s="399" t="s">
        <v>240</v>
      </c>
      <c r="D36" s="183"/>
      <c r="E36" s="199">
        <f>INT((E35/E28+1))</f>
        <v>16</v>
      </c>
      <c r="F36" s="399" t="s">
        <v>5</v>
      </c>
      <c r="G36" s="680">
        <f>INT((G35/G28+1))</f>
        <v>16</v>
      </c>
      <c r="H36" s="437">
        <f t="shared" si="0"/>
        <v>0</v>
      </c>
    </row>
    <row r="37" spans="1:8" x14ac:dyDescent="0.2">
      <c r="A37" s="316"/>
      <c r="B37" s="316"/>
      <c r="C37" s="399" t="s">
        <v>246</v>
      </c>
      <c r="D37" s="183"/>
      <c r="E37" s="184">
        <f>E36*E21</f>
        <v>9.2357566013835601</v>
      </c>
      <c r="F37" s="399" t="s">
        <v>11</v>
      </c>
      <c r="G37" s="477">
        <f>G36*G21</f>
        <v>9.2357566013835601</v>
      </c>
      <c r="H37" s="437">
        <f t="shared" si="0"/>
        <v>0</v>
      </c>
    </row>
    <row r="38" spans="1:8" ht="15" x14ac:dyDescent="0.25">
      <c r="A38" s="316"/>
      <c r="B38" s="316"/>
      <c r="C38" s="17" t="s">
        <v>492</v>
      </c>
      <c r="D38" s="191"/>
      <c r="E38" s="648"/>
      <c r="F38" s="14"/>
      <c r="G38" s="692"/>
      <c r="H38" s="582"/>
    </row>
    <row r="39" spans="1:8" x14ac:dyDescent="0.2">
      <c r="A39" s="316"/>
      <c r="B39" s="679" t="s">
        <v>322</v>
      </c>
      <c r="C39" s="399" t="s">
        <v>499</v>
      </c>
      <c r="D39" s="183" t="s">
        <v>493</v>
      </c>
      <c r="E39" s="184">
        <f>'Planta Pincta'!E72</f>
        <v>11.612879999999999</v>
      </c>
      <c r="F39" s="399" t="s">
        <v>8</v>
      </c>
      <c r="G39" s="477">
        <f>'Planta Pincta'!E72</f>
        <v>11.612879999999999</v>
      </c>
      <c r="H39" s="437">
        <f t="shared" si="0"/>
        <v>0</v>
      </c>
    </row>
    <row r="40" spans="1:8" x14ac:dyDescent="0.2">
      <c r="A40" s="316"/>
      <c r="B40" s="679" t="s">
        <v>485</v>
      </c>
      <c r="C40" s="12" t="s">
        <v>500</v>
      </c>
      <c r="D40" s="197"/>
      <c r="E40" s="494">
        <f>1000*E24*(E23/100)^E25</f>
        <v>110.38593944598622</v>
      </c>
      <c r="F40" s="12" t="s">
        <v>8</v>
      </c>
      <c r="G40" s="477">
        <f>1000*G24*(G23/100)^G25</f>
        <v>110.38593944598622</v>
      </c>
      <c r="H40" s="437">
        <f t="shared" si="0"/>
        <v>0</v>
      </c>
    </row>
    <row r="41" spans="1:8" x14ac:dyDescent="0.2">
      <c r="A41" s="316"/>
      <c r="B41" s="679"/>
      <c r="C41" s="683" t="s">
        <v>498</v>
      </c>
      <c r="D41" s="697" t="str">
        <f>IF(E39-E40&lt;0,"no hay rebose"," hay rebose ")</f>
        <v>no hay rebose</v>
      </c>
      <c r="E41" s="57" t="str">
        <f>IF(E39-E40&gt;0,E39-E40,"no aplica")</f>
        <v>no aplica</v>
      </c>
      <c r="F41" s="684" t="s">
        <v>8</v>
      </c>
      <c r="G41" s="477" t="str">
        <f>IF(G39-G40&gt;0,G39-G40,"no aplica")</f>
        <v>no aplica</v>
      </c>
      <c r="H41" s="437"/>
    </row>
    <row r="42" spans="1:8" ht="28.5" x14ac:dyDescent="0.2">
      <c r="A42" s="316"/>
      <c r="B42" s="316"/>
      <c r="C42" s="698" t="s">
        <v>496</v>
      </c>
      <c r="D42" s="693" t="s">
        <v>497</v>
      </c>
      <c r="E42" s="694">
        <v>1.84</v>
      </c>
      <c r="F42" s="695"/>
      <c r="G42" s="477">
        <v>1.84</v>
      </c>
      <c r="H42" s="696">
        <f t="shared" ref="H42" si="1">G42-E42</f>
        <v>0</v>
      </c>
    </row>
    <row r="43" spans="1:8" x14ac:dyDescent="0.2">
      <c r="A43" s="316"/>
      <c r="B43" s="316"/>
      <c r="C43" s="399" t="s">
        <v>494</v>
      </c>
      <c r="D43" s="183" t="s">
        <v>495</v>
      </c>
      <c r="E43" s="184" t="str">
        <f>IF(E39-E40&gt;0,(0.001*E41/(1.84*E34))^0.67,"no aplica")</f>
        <v>no aplica</v>
      </c>
      <c r="F43" s="399" t="s">
        <v>170</v>
      </c>
      <c r="G43" s="470" t="str">
        <f>IF(G39-G40&gt;0,(0.001*G41/(1.84*G34))^0.67,"no aplica")</f>
        <v>no aplica</v>
      </c>
      <c r="H43" s="437"/>
    </row>
    <row r="44" spans="1:8" x14ac:dyDescent="0.2">
      <c r="A44" s="316"/>
      <c r="B44" s="679" t="s">
        <v>505</v>
      </c>
      <c r="C44" s="507" t="s">
        <v>501</v>
      </c>
      <c r="D44" s="53"/>
      <c r="E44" s="19">
        <v>0.2</v>
      </c>
      <c r="F44" s="507" t="s">
        <v>11</v>
      </c>
      <c r="G44" s="470">
        <v>0.2</v>
      </c>
      <c r="H44" s="437">
        <f t="shared" ref="H44" si="2">G44-E44</f>
        <v>0</v>
      </c>
    </row>
    <row r="45" spans="1:8" x14ac:dyDescent="0.2">
      <c r="A45" s="316"/>
      <c r="B45" s="316"/>
      <c r="C45" s="699" t="s">
        <v>249</v>
      </c>
      <c r="D45" s="700" t="str">
        <f>IF(E45&lt;0,"Hay desborde","suficiente ")</f>
        <v xml:space="preserve">suficiente </v>
      </c>
      <c r="E45" s="701" t="str">
        <f>IF(E39-E40&gt;0,E44-E43,"no aplica")</f>
        <v>no aplica</v>
      </c>
      <c r="F45" s="699" t="s">
        <v>170</v>
      </c>
      <c r="G45" s="477" t="s">
        <v>507</v>
      </c>
      <c r="H45" s="437"/>
    </row>
    <row r="46" spans="1:8" x14ac:dyDescent="0.2">
      <c r="B46" s="702"/>
    </row>
    <row r="47" spans="1:8" ht="15.75" customHeight="1" x14ac:dyDescent="0.25">
      <c r="C47" s="718" t="s">
        <v>392</v>
      </c>
      <c r="D47" s="719"/>
      <c r="E47"/>
      <c r="F47"/>
    </row>
    <row r="48" spans="1:8" ht="14.25" customHeight="1" x14ac:dyDescent="0.25">
      <c r="C48" s="712" t="s">
        <v>402</v>
      </c>
      <c r="D48" s="715"/>
      <c r="E48" s="713"/>
      <c r="F48" s="713"/>
    </row>
    <row r="49" spans="3:6" ht="14.25" customHeight="1" x14ac:dyDescent="0.25">
      <c r="C49" s="712" t="s">
        <v>403</v>
      </c>
      <c r="D49" s="715"/>
      <c r="E49" s="713"/>
      <c r="F49" s="713"/>
    </row>
    <row r="50" spans="3:6" ht="14.25" customHeight="1" x14ac:dyDescent="0.25">
      <c r="C50" s="712" t="s">
        <v>404</v>
      </c>
      <c r="D50" s="714"/>
      <c r="E50" s="714"/>
      <c r="F50" s="714"/>
    </row>
    <row r="51" spans="3:6" ht="14.25" customHeight="1" x14ac:dyDescent="0.25">
      <c r="C51" s="712" t="s">
        <v>405</v>
      </c>
      <c r="D51" s="715"/>
      <c r="E51" s="713"/>
      <c r="F51" s="713"/>
    </row>
    <row r="52" spans="3:6" ht="14.25" customHeight="1" x14ac:dyDescent="0.25">
      <c r="C52" s="712" t="s">
        <v>393</v>
      </c>
      <c r="D52" s="715"/>
      <c r="E52" s="713"/>
      <c r="F52" s="713"/>
    </row>
    <row r="53" spans="3:6" ht="14.25" customHeight="1" x14ac:dyDescent="0.25">
      <c r="C53" s="712" t="s">
        <v>426</v>
      </c>
      <c r="D53" s="713"/>
      <c r="E53" s="713"/>
      <c r="F53" s="713"/>
    </row>
    <row r="54" spans="3:6" ht="14.25" customHeight="1" x14ac:dyDescent="0.25">
      <c r="C54" s="712" t="s">
        <v>394</v>
      </c>
      <c r="D54" s="713"/>
      <c r="E54" s="713"/>
      <c r="F54" s="713"/>
    </row>
    <row r="55" spans="3:6" ht="14.25" customHeight="1" x14ac:dyDescent="0.25">
      <c r="C55" s="712" t="s">
        <v>406</v>
      </c>
      <c r="D55" s="713"/>
      <c r="E55" s="713"/>
      <c r="F55" s="713"/>
    </row>
    <row r="56" spans="3:6" ht="15" customHeight="1" x14ac:dyDescent="0.25">
      <c r="C56" s="712" t="s">
        <v>407</v>
      </c>
      <c r="D56" s="713"/>
      <c r="E56" s="713"/>
      <c r="F56" s="713"/>
    </row>
    <row r="57" spans="3:6" ht="14.25" customHeight="1" x14ac:dyDescent="0.25">
      <c r="C57" s="712" t="s">
        <v>408</v>
      </c>
      <c r="D57" s="713"/>
      <c r="E57" s="713"/>
      <c r="F57" s="713"/>
    </row>
    <row r="58" spans="3:6" ht="15" customHeight="1" x14ac:dyDescent="0.25">
      <c r="C58" s="712" t="s">
        <v>409</v>
      </c>
      <c r="D58" s="713"/>
      <c r="E58" s="713"/>
      <c r="F58" s="713"/>
    </row>
    <row r="59" spans="3:6" ht="14.25" customHeight="1" x14ac:dyDescent="0.25">
      <c r="C59" s="712" t="s">
        <v>427</v>
      </c>
      <c r="D59" s="713"/>
      <c r="E59" s="713"/>
      <c r="F59" s="713"/>
    </row>
    <row r="60" spans="3:6" ht="14.25" customHeight="1" x14ac:dyDescent="0.25">
      <c r="C60" s="712" t="s">
        <v>410</v>
      </c>
      <c r="D60" s="713"/>
      <c r="E60" s="713"/>
      <c r="F60" s="713"/>
    </row>
    <row r="61" spans="3:6" ht="14.25" customHeight="1" x14ac:dyDescent="0.25">
      <c r="C61" s="712" t="s">
        <v>411</v>
      </c>
      <c r="D61" s="713"/>
      <c r="E61" s="713"/>
      <c r="F61" s="713"/>
    </row>
    <row r="62" spans="3:6" ht="14.25" customHeight="1" x14ac:dyDescent="0.25">
      <c r="C62" s="712" t="s">
        <v>395</v>
      </c>
      <c r="D62" s="714"/>
      <c r="E62" s="714"/>
      <c r="F62" s="714"/>
    </row>
    <row r="63" spans="3:6" ht="14.25" customHeight="1" x14ac:dyDescent="0.2">
      <c r="C63" s="706" t="s">
        <v>396</v>
      </c>
      <c r="D63" s="706"/>
      <c r="E63" s="706"/>
      <c r="F63" s="706"/>
    </row>
    <row r="64" spans="3:6" ht="14.25" customHeight="1" x14ac:dyDescent="0.25">
      <c r="C64" s="706" t="s">
        <v>397</v>
      </c>
      <c r="D64" s="720"/>
      <c r="E64" s="720"/>
      <c r="F64" s="720"/>
    </row>
    <row r="65" spans="3:6" ht="14.25" customHeight="1" x14ac:dyDescent="0.25">
      <c r="C65" s="706" t="s">
        <v>412</v>
      </c>
      <c r="D65" s="707"/>
      <c r="E65" s="708"/>
      <c r="F65" s="708"/>
    </row>
    <row r="66" spans="3:6" ht="14.25" customHeight="1" x14ac:dyDescent="0.25">
      <c r="C66" s="706" t="s">
        <v>413</v>
      </c>
      <c r="D66" s="707"/>
      <c r="E66" s="708"/>
      <c r="F66" s="708"/>
    </row>
    <row r="67" spans="3:6" ht="14.25" customHeight="1" x14ac:dyDescent="0.25">
      <c r="C67" s="706" t="s">
        <v>414</v>
      </c>
      <c r="D67" s="713"/>
      <c r="E67" s="713"/>
      <c r="F67" s="713"/>
    </row>
    <row r="68" spans="3:6" ht="14.25" customHeight="1" x14ac:dyDescent="0.25">
      <c r="C68" s="706" t="s">
        <v>398</v>
      </c>
      <c r="D68" s="708"/>
      <c r="E68" s="708"/>
      <c r="F68" s="708"/>
    </row>
    <row r="69" spans="3:6" ht="14.25" customHeight="1" x14ac:dyDescent="0.25">
      <c r="C69" s="706" t="s">
        <v>415</v>
      </c>
      <c r="D69" s="707"/>
      <c r="E69" s="708"/>
      <c r="F69" s="708"/>
    </row>
  </sheetData>
  <mergeCells count="24">
    <mergeCell ref="C69:F69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57:F57"/>
    <mergeCell ref="C12:F12"/>
    <mergeCell ref="C47:D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61A1-B944-4A42-9E36-1FFB3031745B}">
  <dimension ref="A1:E32"/>
  <sheetViews>
    <sheetView showGridLines="0" workbookViewId="0">
      <selection activeCell="J24" sqref="J24"/>
    </sheetView>
  </sheetViews>
  <sheetFormatPr baseColWidth="10" defaultRowHeight="15" x14ac:dyDescent="0.25"/>
  <cols>
    <col min="1" max="1" width="18" customWidth="1"/>
    <col min="2" max="2" width="16.85546875" customWidth="1"/>
    <col min="3" max="3" width="14.85546875" customWidth="1"/>
  </cols>
  <sheetData>
    <row r="1" spans="1:5" x14ac:dyDescent="0.25">
      <c r="B1" s="85" t="s">
        <v>275</v>
      </c>
    </row>
    <row r="2" spans="1:5" x14ac:dyDescent="0.25">
      <c r="A2" s="133" t="s">
        <v>276</v>
      </c>
      <c r="B2" s="724" t="s">
        <v>232</v>
      </c>
      <c r="C2" s="724" t="s">
        <v>233</v>
      </c>
      <c r="D2" s="85"/>
      <c r="E2" s="85"/>
    </row>
    <row r="3" spans="1:5" x14ac:dyDescent="0.25">
      <c r="A3" s="134" t="s">
        <v>9</v>
      </c>
      <c r="B3" s="724"/>
      <c r="C3" s="724"/>
      <c r="D3" s="85"/>
      <c r="E3" s="85"/>
    </row>
    <row r="4" spans="1:5" x14ac:dyDescent="0.25">
      <c r="A4" s="100">
        <v>3</v>
      </c>
      <c r="B4" s="135">
        <v>0.99199999999999999</v>
      </c>
      <c r="C4" s="100">
        <v>1.55</v>
      </c>
      <c r="D4" s="85"/>
      <c r="E4" s="85"/>
    </row>
    <row r="5" spans="1:5" x14ac:dyDescent="0.25">
      <c r="A5" s="100">
        <v>6</v>
      </c>
      <c r="B5" s="135">
        <v>2.06</v>
      </c>
      <c r="C5" s="100">
        <v>1.58</v>
      </c>
      <c r="D5" s="85"/>
      <c r="E5" s="85"/>
    </row>
    <row r="6" spans="1:5" x14ac:dyDescent="0.25">
      <c r="A6" s="100">
        <v>9</v>
      </c>
      <c r="B6" s="135">
        <v>3.07</v>
      </c>
      <c r="C6" s="100">
        <v>1.53</v>
      </c>
      <c r="D6" s="85"/>
      <c r="E6" s="85"/>
    </row>
    <row r="7" spans="1:5" x14ac:dyDescent="0.25">
      <c r="A7" s="100">
        <v>12</v>
      </c>
      <c r="B7" s="135">
        <v>4</v>
      </c>
      <c r="C7" s="100">
        <v>1.522</v>
      </c>
      <c r="D7" s="85"/>
      <c r="E7" s="85"/>
    </row>
    <row r="8" spans="1:5" x14ac:dyDescent="0.25">
      <c r="A8" s="100">
        <v>18</v>
      </c>
      <c r="B8" s="135">
        <v>6</v>
      </c>
      <c r="C8" s="100">
        <v>1.538</v>
      </c>
      <c r="D8" s="85"/>
      <c r="E8" s="85"/>
    </row>
    <row r="9" spans="1:5" x14ac:dyDescent="0.25">
      <c r="A9" s="100">
        <v>24</v>
      </c>
      <c r="B9" s="135">
        <v>8</v>
      </c>
      <c r="C9" s="100">
        <v>1.55</v>
      </c>
      <c r="D9" s="85"/>
      <c r="E9" s="85"/>
    </row>
    <row r="10" spans="1:5" x14ac:dyDescent="0.25">
      <c r="A10" s="85" t="s">
        <v>277</v>
      </c>
      <c r="B10" s="272" t="s">
        <v>380</v>
      </c>
      <c r="C10" s="85"/>
      <c r="D10" s="85"/>
      <c r="E10" s="85"/>
    </row>
    <row r="15" spans="1:5" x14ac:dyDescent="0.25">
      <c r="D15" s="273"/>
    </row>
    <row r="16" spans="1:5" x14ac:dyDescent="0.25">
      <c r="D16" s="274"/>
    </row>
    <row r="28" spans="1:3" ht="15.75" thickBot="1" x14ac:dyDescent="0.3"/>
    <row r="29" spans="1:3" ht="16.5" thickBot="1" x14ac:dyDescent="0.3">
      <c r="A29" s="275"/>
      <c r="B29" s="275"/>
      <c r="C29" s="275"/>
    </row>
    <row r="30" spans="1:3" ht="16.5" thickBot="1" x14ac:dyDescent="0.3">
      <c r="A30" s="275"/>
      <c r="B30" s="275"/>
      <c r="C30" s="275"/>
    </row>
    <row r="31" spans="1:3" ht="16.5" thickBot="1" x14ac:dyDescent="0.3">
      <c r="A31" s="275"/>
      <c r="B31" s="275"/>
      <c r="C31" s="275"/>
    </row>
    <row r="32" spans="1:3" ht="16.5" thickBot="1" x14ac:dyDescent="0.3">
      <c r="A32" s="275"/>
      <c r="B32" s="275"/>
      <c r="C32" s="275"/>
    </row>
  </sheetData>
  <mergeCells count="2"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14DB-59EC-4AE1-B48D-347772BB2F9C}">
  <dimension ref="B3:I48"/>
  <sheetViews>
    <sheetView showGridLines="0" topLeftCell="A9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85" customWidth="1"/>
    <col min="7" max="8" width="13" customWidth="1"/>
    <col min="9" max="9" width="13.28515625" customWidth="1"/>
  </cols>
  <sheetData>
    <row r="3" spans="2:9" ht="28.5" customHeight="1" x14ac:dyDescent="0.25">
      <c r="B3" s="83" t="s">
        <v>107</v>
      </c>
      <c r="C3" s="83" t="s">
        <v>108</v>
      </c>
      <c r="D3" s="83" t="s">
        <v>109</v>
      </c>
      <c r="E3" s="83" t="s">
        <v>110</v>
      </c>
      <c r="F3" s="83" t="s">
        <v>111</v>
      </c>
      <c r="G3" s="734" t="s">
        <v>112</v>
      </c>
      <c r="H3" s="735"/>
      <c r="I3" s="736"/>
    </row>
    <row r="4" spans="2:9" x14ac:dyDescent="0.25">
      <c r="B4" s="738" t="s">
        <v>27</v>
      </c>
      <c r="C4" s="738" t="s">
        <v>22</v>
      </c>
      <c r="D4" s="738" t="s">
        <v>381</v>
      </c>
      <c r="E4" s="738" t="s">
        <v>94</v>
      </c>
      <c r="F4" s="738" t="s">
        <v>18</v>
      </c>
      <c r="G4" s="734" t="s">
        <v>95</v>
      </c>
      <c r="H4" s="737"/>
      <c r="I4" s="736"/>
    </row>
    <row r="5" spans="2:9" x14ac:dyDescent="0.25">
      <c r="B5" s="739"/>
      <c r="C5" s="739"/>
      <c r="D5" s="739"/>
      <c r="E5" s="739"/>
      <c r="F5" s="739"/>
      <c r="G5" s="319">
        <v>0</v>
      </c>
      <c r="H5" s="319">
        <v>5</v>
      </c>
      <c r="I5" s="319">
        <v>10</v>
      </c>
    </row>
    <row r="6" spans="2:9" x14ac:dyDescent="0.25">
      <c r="B6" s="86">
        <v>0</v>
      </c>
      <c r="C6" s="87">
        <v>999.82</v>
      </c>
      <c r="D6" s="88">
        <v>1.792E-3</v>
      </c>
      <c r="E6" s="84">
        <f>D6/C6</f>
        <v>1.7923226180712527E-6</v>
      </c>
      <c r="F6" s="87">
        <v>0.61099999999999999</v>
      </c>
      <c r="G6" s="87">
        <v>14.6</v>
      </c>
      <c r="H6" s="87">
        <v>14.11</v>
      </c>
      <c r="I6" s="87">
        <v>13.64</v>
      </c>
    </row>
    <row r="7" spans="2:9" x14ac:dyDescent="0.25">
      <c r="B7" s="86">
        <f>B6+1</f>
        <v>1</v>
      </c>
      <c r="C7" s="87">
        <v>999.89</v>
      </c>
      <c r="D7" s="88">
        <v>1.7309999999999999E-3</v>
      </c>
      <c r="E7" s="84">
        <f t="shared" ref="E7:E46" si="0">D7/C7</f>
        <v>1.7311904309474041E-6</v>
      </c>
      <c r="F7" s="87">
        <v>0.65700000000000003</v>
      </c>
      <c r="G7" s="87">
        <v>14.2</v>
      </c>
      <c r="H7" s="87">
        <v>13.73</v>
      </c>
      <c r="I7" s="87">
        <v>13.27</v>
      </c>
    </row>
    <row r="8" spans="2:9" x14ac:dyDescent="0.25">
      <c r="B8" s="86">
        <f t="shared" ref="B8:B46" si="1">B7+1</f>
        <v>2</v>
      </c>
      <c r="C8" s="87">
        <v>999.94</v>
      </c>
      <c r="D8" s="88">
        <v>1.6739999999999999E-3</v>
      </c>
      <c r="E8" s="84">
        <f t="shared" si="0"/>
        <v>1.6741004460267615E-6</v>
      </c>
      <c r="F8" s="87">
        <v>0.70499999999999996</v>
      </c>
      <c r="G8" s="87">
        <v>13.81</v>
      </c>
      <c r="H8" s="87">
        <v>13.36</v>
      </c>
      <c r="I8" s="87">
        <v>12.91</v>
      </c>
    </row>
    <row r="9" spans="2:9" x14ac:dyDescent="0.25">
      <c r="B9" s="86">
        <f t="shared" si="1"/>
        <v>3</v>
      </c>
      <c r="C9" s="87">
        <v>999.98</v>
      </c>
      <c r="D9" s="88">
        <v>1.6199999999999999E-3</v>
      </c>
      <c r="E9" s="84">
        <f t="shared" si="0"/>
        <v>1.6200324006480128E-6</v>
      </c>
      <c r="F9" s="87">
        <v>0.75700000000000001</v>
      </c>
      <c r="G9" s="87">
        <v>13.45</v>
      </c>
      <c r="H9" s="87">
        <v>13</v>
      </c>
      <c r="I9" s="87">
        <v>12.58</v>
      </c>
    </row>
    <row r="10" spans="2:9" x14ac:dyDescent="0.25">
      <c r="B10" s="86">
        <f t="shared" si="1"/>
        <v>4</v>
      </c>
      <c r="C10" s="87">
        <v>1000</v>
      </c>
      <c r="D10" s="88">
        <v>1.5690000000000001E-3</v>
      </c>
      <c r="E10" s="84">
        <f t="shared" si="0"/>
        <v>1.5690000000000001E-6</v>
      </c>
      <c r="F10" s="87">
        <v>0.81299999999999994</v>
      </c>
      <c r="G10" s="87">
        <v>13.09</v>
      </c>
      <c r="H10" s="87">
        <v>12.67</v>
      </c>
      <c r="I10" s="87">
        <v>12.25</v>
      </c>
    </row>
    <row r="11" spans="2:9" x14ac:dyDescent="0.25">
      <c r="B11" s="86">
        <f t="shared" si="1"/>
        <v>5</v>
      </c>
      <c r="C11" s="87">
        <v>1000</v>
      </c>
      <c r="D11" s="88">
        <v>1.5200000000000001E-3</v>
      </c>
      <c r="E11" s="84">
        <f t="shared" si="0"/>
        <v>1.5200000000000001E-6</v>
      </c>
      <c r="F11" s="87">
        <v>0.872</v>
      </c>
      <c r="G11" s="87">
        <v>12.76</v>
      </c>
      <c r="H11" s="87">
        <v>12.34</v>
      </c>
      <c r="I11" s="87">
        <v>11.94</v>
      </c>
    </row>
    <row r="12" spans="2:9" x14ac:dyDescent="0.25">
      <c r="B12" s="86">
        <f t="shared" si="1"/>
        <v>6</v>
      </c>
      <c r="C12" s="87">
        <v>999.99</v>
      </c>
      <c r="D12" s="88">
        <v>1.4729999999999999E-3</v>
      </c>
      <c r="E12" s="84">
        <f t="shared" si="0"/>
        <v>1.4730147301473013E-6</v>
      </c>
      <c r="F12" s="87">
        <v>0.93500000000000005</v>
      </c>
      <c r="G12" s="87">
        <v>12.44</v>
      </c>
      <c r="H12" s="87">
        <v>12.04</v>
      </c>
      <c r="I12" s="87">
        <v>11.65</v>
      </c>
    </row>
    <row r="13" spans="2:9" x14ac:dyDescent="0.25">
      <c r="B13" s="86">
        <f t="shared" si="1"/>
        <v>7</v>
      </c>
      <c r="C13" s="87">
        <v>999.96</v>
      </c>
      <c r="D13" s="88">
        <v>1.4289999999999999E-3</v>
      </c>
      <c r="E13" s="84">
        <f t="shared" si="0"/>
        <v>1.4290571622864914E-6</v>
      </c>
      <c r="F13" s="87">
        <v>1.0009999999999999</v>
      </c>
      <c r="G13" s="87">
        <v>12.13</v>
      </c>
      <c r="H13" s="87">
        <v>11.74</v>
      </c>
      <c r="I13" s="87">
        <v>11.37</v>
      </c>
    </row>
    <row r="14" spans="2:9" x14ac:dyDescent="0.25">
      <c r="B14" s="86">
        <f t="shared" si="1"/>
        <v>8</v>
      </c>
      <c r="C14" s="87">
        <v>999.91</v>
      </c>
      <c r="D14" s="88">
        <v>1.3860000000000001E-3</v>
      </c>
      <c r="E14" s="84">
        <f t="shared" si="0"/>
        <v>1.3861247512276105E-6</v>
      </c>
      <c r="F14" s="87">
        <v>1.0720000000000001</v>
      </c>
      <c r="G14" s="87">
        <v>11.83</v>
      </c>
      <c r="H14" s="87">
        <v>11.46</v>
      </c>
      <c r="I14" s="87">
        <v>11.09</v>
      </c>
    </row>
    <row r="15" spans="2:9" x14ac:dyDescent="0.25">
      <c r="B15" s="86">
        <f t="shared" si="1"/>
        <v>9</v>
      </c>
      <c r="C15" s="87">
        <v>999.85</v>
      </c>
      <c r="D15" s="88">
        <v>1.346E-3</v>
      </c>
      <c r="E15" s="84">
        <f t="shared" si="0"/>
        <v>1.3462019302895433E-6</v>
      </c>
      <c r="F15" s="87">
        <v>1.147</v>
      </c>
      <c r="G15" s="87">
        <v>11.55</v>
      </c>
      <c r="H15" s="87">
        <v>11.19</v>
      </c>
      <c r="I15" s="87">
        <v>10.83</v>
      </c>
    </row>
    <row r="16" spans="2:9" x14ac:dyDescent="0.25">
      <c r="B16" s="86">
        <f t="shared" si="1"/>
        <v>10</v>
      </c>
      <c r="C16" s="87">
        <v>999.77</v>
      </c>
      <c r="D16" s="88">
        <v>1.3079999999999999E-3</v>
      </c>
      <c r="E16" s="84">
        <f t="shared" si="0"/>
        <v>1.3083009092091181E-6</v>
      </c>
      <c r="F16" s="87">
        <v>1.2270000000000001</v>
      </c>
      <c r="G16" s="87">
        <v>11.28</v>
      </c>
      <c r="H16" s="87">
        <v>10.92</v>
      </c>
      <c r="I16" s="87">
        <v>10.58</v>
      </c>
    </row>
    <row r="17" spans="2:9" x14ac:dyDescent="0.25">
      <c r="B17" s="86">
        <f t="shared" si="1"/>
        <v>11</v>
      </c>
      <c r="C17" s="87">
        <v>999.68</v>
      </c>
      <c r="D17" s="88">
        <v>1.271E-3</v>
      </c>
      <c r="E17" s="84">
        <f t="shared" si="0"/>
        <v>1.2714068501920614E-6</v>
      </c>
      <c r="F17" s="87">
        <v>1.3120000000000001</v>
      </c>
      <c r="G17" s="87">
        <v>11.02</v>
      </c>
      <c r="H17" s="87">
        <v>10.67</v>
      </c>
      <c r="I17" s="87">
        <v>10.34</v>
      </c>
    </row>
    <row r="18" spans="2:9" x14ac:dyDescent="0.25">
      <c r="B18" s="86">
        <f t="shared" si="1"/>
        <v>12</v>
      </c>
      <c r="C18" s="87">
        <v>999.58</v>
      </c>
      <c r="D18" s="88">
        <v>1.2359999999999999E-3</v>
      </c>
      <c r="E18" s="84">
        <f t="shared" si="0"/>
        <v>1.2365193381220111E-6</v>
      </c>
      <c r="F18" s="87">
        <v>1.4019999999999999</v>
      </c>
      <c r="G18" s="87">
        <v>10.77</v>
      </c>
      <c r="H18" s="87">
        <v>10.43</v>
      </c>
      <c r="I18" s="87">
        <v>10.11</v>
      </c>
    </row>
    <row r="19" spans="2:9" x14ac:dyDescent="0.25">
      <c r="B19" s="86">
        <f t="shared" si="1"/>
        <v>13</v>
      </c>
      <c r="C19" s="87">
        <v>999.46</v>
      </c>
      <c r="D19" s="88">
        <v>1.2019999999999999E-3</v>
      </c>
      <c r="E19" s="84">
        <f t="shared" si="0"/>
        <v>1.2026494306925738E-6</v>
      </c>
      <c r="F19" s="87">
        <v>1.4970000000000001</v>
      </c>
      <c r="G19" s="87">
        <v>10.53</v>
      </c>
      <c r="H19" s="87">
        <v>10.199999999999999</v>
      </c>
      <c r="I19" s="87">
        <v>9.89</v>
      </c>
    </row>
    <row r="20" spans="2:9" x14ac:dyDescent="0.25">
      <c r="B20" s="86">
        <f t="shared" si="1"/>
        <v>14</v>
      </c>
      <c r="C20" s="87">
        <v>999.33</v>
      </c>
      <c r="D20" s="88">
        <v>1.17E-3</v>
      </c>
      <c r="E20" s="84">
        <f t="shared" si="0"/>
        <v>1.1707844255651285E-6</v>
      </c>
      <c r="F20" s="87">
        <v>1.597</v>
      </c>
      <c r="G20" s="87">
        <v>10.29</v>
      </c>
      <c r="H20" s="87">
        <v>9.98</v>
      </c>
      <c r="I20" s="87">
        <v>9.68</v>
      </c>
    </row>
    <row r="21" spans="2:9" x14ac:dyDescent="0.25">
      <c r="B21" s="86">
        <f t="shared" si="1"/>
        <v>15</v>
      </c>
      <c r="C21" s="87">
        <v>999.19</v>
      </c>
      <c r="D21" s="88">
        <v>1.139E-3</v>
      </c>
      <c r="E21" s="84">
        <f t="shared" si="0"/>
        <v>1.1399233379037019E-6</v>
      </c>
      <c r="F21" s="87">
        <v>1.704</v>
      </c>
      <c r="G21" s="87">
        <v>10.07</v>
      </c>
      <c r="H21" s="87">
        <v>9.77</v>
      </c>
      <c r="I21" s="87">
        <v>9.4700000000000006</v>
      </c>
    </row>
    <row r="22" spans="2:9" x14ac:dyDescent="0.25">
      <c r="B22" s="86">
        <f t="shared" si="1"/>
        <v>16</v>
      </c>
      <c r="C22" s="87">
        <v>999.03</v>
      </c>
      <c r="D22" s="88">
        <v>1.109E-3</v>
      </c>
      <c r="E22" s="84">
        <f t="shared" si="0"/>
        <v>1.110076774471237E-6</v>
      </c>
      <c r="F22" s="87">
        <v>1.8169999999999999</v>
      </c>
      <c r="G22" s="87">
        <v>9.86</v>
      </c>
      <c r="H22" s="87">
        <v>9.56</v>
      </c>
      <c r="I22" s="87">
        <v>9.2799999999999994</v>
      </c>
    </row>
    <row r="23" spans="2:9" x14ac:dyDescent="0.25">
      <c r="B23" s="86">
        <f t="shared" si="1"/>
        <v>17</v>
      </c>
      <c r="C23" s="87">
        <v>998.86</v>
      </c>
      <c r="D23" s="88">
        <v>1.0809999999999999E-3</v>
      </c>
      <c r="E23" s="84">
        <f t="shared" si="0"/>
        <v>1.0822337464709768E-6</v>
      </c>
      <c r="F23" s="87">
        <v>1.9359999999999999</v>
      </c>
      <c r="G23" s="87">
        <v>9.65</v>
      </c>
      <c r="H23" s="87">
        <v>9.36</v>
      </c>
      <c r="I23" s="87">
        <v>9.09</v>
      </c>
    </row>
    <row r="24" spans="2:9" x14ac:dyDescent="0.25">
      <c r="B24" s="86">
        <f t="shared" si="1"/>
        <v>18</v>
      </c>
      <c r="C24" s="87">
        <v>998.68</v>
      </c>
      <c r="D24" s="88">
        <v>1.054E-3</v>
      </c>
      <c r="E24" s="84">
        <f t="shared" si="0"/>
        <v>1.0553931189169705E-6</v>
      </c>
      <c r="F24" s="87">
        <v>2.0630000000000002</v>
      </c>
      <c r="G24" s="87">
        <v>9.4499999999999993</v>
      </c>
      <c r="H24" s="87">
        <v>9.17</v>
      </c>
      <c r="I24" s="87">
        <v>8.9</v>
      </c>
    </row>
    <row r="25" spans="2:9" x14ac:dyDescent="0.25">
      <c r="B25" s="86">
        <f t="shared" si="1"/>
        <v>19</v>
      </c>
      <c r="C25" s="87">
        <v>998.49</v>
      </c>
      <c r="D25" s="88">
        <v>1.0280000000000001E-3</v>
      </c>
      <c r="E25" s="84">
        <f t="shared" si="0"/>
        <v>1.0295546274875061E-6</v>
      </c>
      <c r="F25" s="87">
        <v>2.1960000000000002</v>
      </c>
      <c r="G25" s="87">
        <v>9.26</v>
      </c>
      <c r="H25" s="87">
        <v>8.99</v>
      </c>
      <c r="I25" s="87">
        <v>8.73</v>
      </c>
    </row>
    <row r="26" spans="2:9" x14ac:dyDescent="0.25">
      <c r="B26" s="86">
        <f t="shared" si="1"/>
        <v>20</v>
      </c>
      <c r="C26" s="87">
        <v>998.29</v>
      </c>
      <c r="D26" s="88">
        <v>1.003E-3</v>
      </c>
      <c r="E26" s="84">
        <f t="shared" si="0"/>
        <v>1.0047180678961023E-6</v>
      </c>
      <c r="F26" s="87">
        <v>2.3370000000000002</v>
      </c>
      <c r="G26" s="87">
        <v>9.08</v>
      </c>
      <c r="H26" s="87">
        <v>8.81</v>
      </c>
      <c r="I26" s="87">
        <v>8.56</v>
      </c>
    </row>
    <row r="27" spans="2:9" x14ac:dyDescent="0.25">
      <c r="B27" s="86">
        <f t="shared" si="1"/>
        <v>21</v>
      </c>
      <c r="C27" s="87">
        <v>998.08</v>
      </c>
      <c r="D27" s="88">
        <v>9.7900000000000005E-4</v>
      </c>
      <c r="E27" s="84">
        <f t="shared" si="0"/>
        <v>9.8088329592818217E-7</v>
      </c>
      <c r="F27" s="87">
        <v>2.4860000000000002</v>
      </c>
      <c r="G27" s="87">
        <v>8.9</v>
      </c>
      <c r="H27" s="87">
        <v>8.64</v>
      </c>
      <c r="I27" s="87">
        <v>8.39</v>
      </c>
    </row>
    <row r="28" spans="2:9" x14ac:dyDescent="0.25">
      <c r="B28" s="86">
        <f t="shared" si="1"/>
        <v>22</v>
      </c>
      <c r="C28" s="87">
        <v>997.86</v>
      </c>
      <c r="D28" s="88">
        <v>9.5500000000000001E-4</v>
      </c>
      <c r="E28" s="84">
        <f t="shared" si="0"/>
        <v>9.5704808289740053E-7</v>
      </c>
      <c r="F28" s="87">
        <v>2.6419999999999999</v>
      </c>
      <c r="G28" s="87">
        <v>8.73</v>
      </c>
      <c r="H28" s="87">
        <v>8.48</v>
      </c>
      <c r="I28" s="87">
        <v>8.23</v>
      </c>
    </row>
    <row r="29" spans="2:9" x14ac:dyDescent="0.25">
      <c r="B29" s="86">
        <f t="shared" si="1"/>
        <v>23</v>
      </c>
      <c r="C29" s="87">
        <v>997.62</v>
      </c>
      <c r="D29" s="88">
        <v>9.3300000000000002E-4</v>
      </c>
      <c r="E29" s="84">
        <f t="shared" si="0"/>
        <v>9.3522583749323393E-7</v>
      </c>
      <c r="F29" s="87">
        <v>2.8079999999999998</v>
      </c>
      <c r="G29" s="87">
        <v>8.56</v>
      </c>
      <c r="H29" s="87">
        <v>8.32</v>
      </c>
      <c r="I29" s="87">
        <v>8.08</v>
      </c>
    </row>
    <row r="30" spans="2:9" x14ac:dyDescent="0.25">
      <c r="B30" s="86">
        <f t="shared" si="1"/>
        <v>24</v>
      </c>
      <c r="C30" s="87">
        <v>997.38</v>
      </c>
      <c r="D30" s="88">
        <v>9.1100000000000003E-4</v>
      </c>
      <c r="E30" s="84">
        <f t="shared" si="0"/>
        <v>9.1339308989552636E-7</v>
      </c>
      <c r="F30" s="87">
        <v>2.9820000000000002</v>
      </c>
      <c r="G30" s="87">
        <v>8.4</v>
      </c>
      <c r="H30" s="87">
        <v>8.16</v>
      </c>
      <c r="I30" s="87">
        <v>7.93</v>
      </c>
    </row>
    <row r="31" spans="2:9" x14ac:dyDescent="0.25">
      <c r="B31" s="86">
        <f t="shared" si="1"/>
        <v>25</v>
      </c>
      <c r="C31" s="87">
        <v>997.13</v>
      </c>
      <c r="D31" s="88">
        <v>8.9099999999999997E-4</v>
      </c>
      <c r="E31" s="84">
        <f t="shared" si="0"/>
        <v>8.9356453020167885E-7</v>
      </c>
      <c r="F31" s="87">
        <v>3.1659999999999999</v>
      </c>
      <c r="G31" s="87">
        <v>8.24</v>
      </c>
      <c r="H31" s="87">
        <v>8.01</v>
      </c>
      <c r="I31" s="87">
        <v>7.79</v>
      </c>
    </row>
    <row r="32" spans="2:9" x14ac:dyDescent="0.25">
      <c r="B32" s="86">
        <f t="shared" si="1"/>
        <v>26</v>
      </c>
      <c r="C32" s="87">
        <v>996.86</v>
      </c>
      <c r="D32" s="88">
        <v>8.7100000000000003E-4</v>
      </c>
      <c r="E32" s="84">
        <f t="shared" si="0"/>
        <v>8.7374355476195253E-7</v>
      </c>
      <c r="F32" s="87">
        <v>3.36</v>
      </c>
      <c r="G32" s="87">
        <v>8.09</v>
      </c>
      <c r="H32" s="87">
        <v>7.87</v>
      </c>
      <c r="I32" s="87">
        <v>7.65</v>
      </c>
    </row>
    <row r="33" spans="2:9" x14ac:dyDescent="0.25">
      <c r="B33" s="86">
        <f t="shared" si="1"/>
        <v>27</v>
      </c>
      <c r="C33" s="87">
        <v>996.59</v>
      </c>
      <c r="D33" s="88">
        <v>8.52E-4</v>
      </c>
      <c r="E33" s="84">
        <f t="shared" si="0"/>
        <v>8.5491526104014687E-7</v>
      </c>
      <c r="F33" s="87">
        <v>3.5640000000000001</v>
      </c>
      <c r="G33" s="87">
        <v>7.95</v>
      </c>
      <c r="H33" s="87">
        <v>7.73</v>
      </c>
      <c r="I33" s="87">
        <v>7.51</v>
      </c>
    </row>
    <row r="34" spans="2:9" x14ac:dyDescent="0.25">
      <c r="B34" s="86">
        <f t="shared" si="1"/>
        <v>28</v>
      </c>
      <c r="C34" s="87">
        <v>996.31</v>
      </c>
      <c r="D34" s="88">
        <v>8.3299999999999997E-4</v>
      </c>
      <c r="E34" s="84">
        <f t="shared" si="0"/>
        <v>8.3608515421906841E-7</v>
      </c>
      <c r="F34" s="87">
        <v>3.7789999999999999</v>
      </c>
      <c r="G34" s="87">
        <v>7.81</v>
      </c>
      <c r="H34" s="87">
        <v>7.59</v>
      </c>
      <c r="I34" s="87">
        <v>7.38</v>
      </c>
    </row>
    <row r="35" spans="2:9" x14ac:dyDescent="0.25">
      <c r="B35" s="86">
        <f t="shared" si="1"/>
        <v>29</v>
      </c>
      <c r="C35" s="87">
        <v>996.02</v>
      </c>
      <c r="D35" s="88">
        <v>8.1499999999999997E-4</v>
      </c>
      <c r="E35" s="84">
        <f t="shared" si="0"/>
        <v>8.1825666151282104E-7</v>
      </c>
      <c r="F35" s="87">
        <v>4.0039999999999996</v>
      </c>
      <c r="G35" s="87">
        <v>7.67</v>
      </c>
      <c r="H35" s="87">
        <v>7.46</v>
      </c>
      <c r="I35" s="87">
        <v>7.26</v>
      </c>
    </row>
    <row r="36" spans="2:9" x14ac:dyDescent="0.25">
      <c r="B36" s="86">
        <f t="shared" si="1"/>
        <v>30</v>
      </c>
      <c r="C36" s="87">
        <v>995.71</v>
      </c>
      <c r="D36" s="88">
        <v>7.9799999999999999E-4</v>
      </c>
      <c r="E36" s="84">
        <f t="shared" si="0"/>
        <v>8.0143816974821981E-7</v>
      </c>
      <c r="F36" s="87">
        <v>4.242</v>
      </c>
      <c r="G36" s="87">
        <v>7.54</v>
      </c>
      <c r="H36" s="87">
        <v>7.33</v>
      </c>
      <c r="I36" s="87">
        <v>7.14</v>
      </c>
    </row>
    <row r="37" spans="2:9" x14ac:dyDescent="0.25">
      <c r="B37" s="86">
        <f t="shared" si="1"/>
        <v>31</v>
      </c>
      <c r="C37" s="87">
        <v>995.41</v>
      </c>
      <c r="D37" s="88">
        <v>7.8100000000000001E-4</v>
      </c>
      <c r="E37" s="84">
        <f t="shared" si="0"/>
        <v>7.8460132005907112E-7</v>
      </c>
      <c r="F37" s="87">
        <v>4.4909999999999997</v>
      </c>
      <c r="G37" s="87">
        <v>7.41</v>
      </c>
      <c r="H37" s="87">
        <v>7.21</v>
      </c>
      <c r="I37" s="87">
        <v>7.02</v>
      </c>
    </row>
    <row r="38" spans="2:9" x14ac:dyDescent="0.25">
      <c r="B38" s="86">
        <f t="shared" si="1"/>
        <v>32</v>
      </c>
      <c r="C38" s="87">
        <v>995.09</v>
      </c>
      <c r="D38" s="88">
        <v>7.6499999999999995E-4</v>
      </c>
      <c r="E38" s="84">
        <f t="shared" si="0"/>
        <v>7.6877468369695196E-7</v>
      </c>
      <c r="F38" s="87">
        <v>4.7539999999999996</v>
      </c>
      <c r="G38" s="87">
        <v>7.29</v>
      </c>
      <c r="H38" s="87">
        <v>7.09</v>
      </c>
      <c r="I38" s="87">
        <v>6.9</v>
      </c>
    </row>
    <row r="39" spans="2:9" x14ac:dyDescent="0.25">
      <c r="B39" s="86">
        <f t="shared" si="1"/>
        <v>33</v>
      </c>
      <c r="C39" s="87">
        <v>994.76</v>
      </c>
      <c r="D39" s="88">
        <v>7.4899999999999999E-4</v>
      </c>
      <c r="E39" s="84">
        <f t="shared" si="0"/>
        <v>7.5294543407455063E-7</v>
      </c>
      <c r="F39" s="87">
        <v>5.0289999999999999</v>
      </c>
      <c r="G39" s="87">
        <v>7.17</v>
      </c>
      <c r="H39" s="87">
        <v>6.98</v>
      </c>
      <c r="I39" s="87">
        <v>6.79</v>
      </c>
    </row>
    <row r="40" spans="2:9" x14ac:dyDescent="0.25">
      <c r="B40" s="86">
        <f t="shared" si="1"/>
        <v>34</v>
      </c>
      <c r="C40" s="87">
        <v>994.43</v>
      </c>
      <c r="D40" s="88">
        <v>7.3399999999999995E-4</v>
      </c>
      <c r="E40" s="84">
        <f t="shared" si="0"/>
        <v>7.3811127982864557E-7</v>
      </c>
      <c r="F40" s="87">
        <v>5.3179999999999996</v>
      </c>
      <c r="G40" s="87">
        <v>7.05</v>
      </c>
      <c r="H40" s="87">
        <v>6.86</v>
      </c>
      <c r="I40" s="87">
        <v>6.68</v>
      </c>
    </row>
    <row r="41" spans="2:9" x14ac:dyDescent="0.25">
      <c r="B41" s="86">
        <f t="shared" si="1"/>
        <v>35</v>
      </c>
      <c r="C41" s="87">
        <v>994.08</v>
      </c>
      <c r="D41" s="88">
        <v>7.2000000000000005E-4</v>
      </c>
      <c r="E41" s="84">
        <f t="shared" si="0"/>
        <v>7.2428778367938198E-7</v>
      </c>
      <c r="F41" s="87">
        <v>5.6219999999999999</v>
      </c>
      <c r="G41" s="87">
        <v>6.93</v>
      </c>
      <c r="H41" s="87">
        <v>6.75</v>
      </c>
      <c r="I41" s="87">
        <v>6.58</v>
      </c>
    </row>
    <row r="42" spans="2:9" x14ac:dyDescent="0.25">
      <c r="B42" s="86">
        <f t="shared" si="1"/>
        <v>36</v>
      </c>
      <c r="C42" s="87">
        <v>993.73</v>
      </c>
      <c r="D42" s="88">
        <v>7.0500000000000001E-4</v>
      </c>
      <c r="E42" s="84">
        <f t="shared" si="0"/>
        <v>7.0944824046773266E-7</v>
      </c>
      <c r="F42" s="87">
        <v>5.94</v>
      </c>
      <c r="G42" s="87">
        <v>6.82</v>
      </c>
      <c r="H42" s="87">
        <v>6.65</v>
      </c>
      <c r="I42" s="87">
        <v>6.47</v>
      </c>
    </row>
    <row r="43" spans="2:9" x14ac:dyDescent="0.25">
      <c r="B43" s="86">
        <f t="shared" si="1"/>
        <v>37</v>
      </c>
      <c r="C43" s="87">
        <v>993.37</v>
      </c>
      <c r="D43" s="88">
        <v>6.9200000000000002E-4</v>
      </c>
      <c r="E43" s="84">
        <f t="shared" si="0"/>
        <v>6.9661858119331165E-7</v>
      </c>
      <c r="F43" s="87">
        <v>6.274</v>
      </c>
      <c r="G43" s="87">
        <v>6.72</v>
      </c>
      <c r="H43" s="87">
        <v>6.54</v>
      </c>
      <c r="I43" s="87">
        <v>6.37</v>
      </c>
    </row>
    <row r="44" spans="2:9" x14ac:dyDescent="0.25">
      <c r="B44" s="86">
        <f t="shared" si="1"/>
        <v>38</v>
      </c>
      <c r="C44" s="87">
        <v>993</v>
      </c>
      <c r="D44" s="88">
        <v>6.78E-4</v>
      </c>
      <c r="E44" s="84">
        <f t="shared" si="0"/>
        <v>6.8277945619335344E-7</v>
      </c>
      <c r="F44" s="87">
        <v>6.6239999999999997</v>
      </c>
      <c r="G44" s="87">
        <v>6.61</v>
      </c>
      <c r="H44" s="87">
        <v>6.44</v>
      </c>
      <c r="I44" s="87">
        <v>6.28</v>
      </c>
    </row>
    <row r="45" spans="2:9" x14ac:dyDescent="0.25">
      <c r="B45" s="86">
        <f t="shared" si="1"/>
        <v>39</v>
      </c>
      <c r="C45" s="87">
        <v>992.63</v>
      </c>
      <c r="D45" s="88">
        <v>6.6600000000000003E-4</v>
      </c>
      <c r="E45" s="84">
        <f t="shared" si="0"/>
        <v>6.709448636450642E-7</v>
      </c>
      <c r="F45" s="87">
        <v>6.9909999999999997</v>
      </c>
      <c r="G45" s="87">
        <v>6.51</v>
      </c>
      <c r="H45" s="87">
        <v>6.34</v>
      </c>
      <c r="I45" s="87">
        <v>6.18</v>
      </c>
    </row>
    <row r="46" spans="2:9" x14ac:dyDescent="0.25">
      <c r="B46" s="86">
        <f t="shared" si="1"/>
        <v>40</v>
      </c>
      <c r="C46" s="87">
        <v>992.25</v>
      </c>
      <c r="D46" s="88">
        <v>6.5300000000000004E-4</v>
      </c>
      <c r="E46" s="84">
        <f t="shared" si="0"/>
        <v>6.5810027714789624E-7</v>
      </c>
      <c r="F46" s="87">
        <v>7.375</v>
      </c>
      <c r="G46" s="87">
        <v>6.41</v>
      </c>
      <c r="H46" s="87">
        <v>6.25</v>
      </c>
      <c r="I46" s="87">
        <v>6.09</v>
      </c>
    </row>
    <row r="47" spans="2:9" ht="29.25" customHeight="1" x14ac:dyDescent="0.25">
      <c r="B47" s="725" t="s">
        <v>97</v>
      </c>
      <c r="C47" s="726"/>
      <c r="D47" s="726"/>
      <c r="E47" s="726"/>
      <c r="F47" s="727"/>
      <c r="G47" s="728" t="s">
        <v>98</v>
      </c>
      <c r="H47" s="729"/>
      <c r="I47" s="730"/>
    </row>
    <row r="48" spans="2:9" x14ac:dyDescent="0.25">
      <c r="B48" s="90" t="s">
        <v>96</v>
      </c>
      <c r="C48" s="89"/>
      <c r="D48" s="89"/>
      <c r="E48" s="91"/>
      <c r="F48" s="92"/>
      <c r="G48" s="731"/>
      <c r="H48" s="732"/>
      <c r="I48" s="733"/>
    </row>
  </sheetData>
  <mergeCells count="9">
    <mergeCell ref="B47:F47"/>
    <mergeCell ref="G47:I48"/>
    <mergeCell ref="G3:I3"/>
    <mergeCell ref="G4:I4"/>
    <mergeCell ref="B4:B5"/>
    <mergeCell ref="C4:C5"/>
    <mergeCell ref="D4:D5"/>
    <mergeCell ref="E4:E5"/>
    <mergeCell ref="F4:F5"/>
  </mergeCells>
  <hyperlinks>
    <hyperlink ref="B48" r:id="rId1" xr:uid="{9FE71EA8-9069-4AFE-825C-CDD5C6B10D1A}"/>
  </hyperlinks>
  <pageMargins left="0.7" right="0.7" top="0.75" bottom="0.75" header="0.3" footer="0.3"/>
  <pageSetup paperSize="9" orientation="portrait" horizontalDpi="0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32D4-A053-49B9-B755-6245553D1DE7}">
  <dimension ref="G1"/>
  <sheetViews>
    <sheetView showGridLines="0" zoomScale="75" zoomScaleNormal="75" workbookViewId="0">
      <selection sqref="A1:XFD1048576"/>
    </sheetView>
  </sheetViews>
  <sheetFormatPr baseColWidth="10" defaultRowHeight="15" x14ac:dyDescent="0.25"/>
  <sheetData>
    <row r="1" spans="7:7" ht="20.25" x14ac:dyDescent="0.3">
      <c r="G1" s="609" t="s">
        <v>441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Parrilla de Aireación </vt:lpstr>
      <vt:lpstr>Planta Pincta</vt:lpstr>
      <vt:lpstr>Tuberias de Aireación</vt:lpstr>
      <vt:lpstr>Tubería de Succión</vt:lpstr>
      <vt:lpstr>Tubería de Soplador</vt:lpstr>
      <vt:lpstr>Escalera</vt:lpstr>
      <vt:lpstr>Datos Escalera</vt:lpstr>
      <vt:lpstr>Agua-T(°C)</vt:lpstr>
      <vt:lpstr>Diagrama de Moody</vt:lpstr>
      <vt:lpstr>'Parrilla de Aireación '!_Hlk100998761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Carlos Paez</cp:lastModifiedBy>
  <cp:revision>1</cp:revision>
  <dcterms:created xsi:type="dcterms:W3CDTF">2016-12-21T15:40:41Z</dcterms:created>
  <dcterms:modified xsi:type="dcterms:W3CDTF">2024-05-31T20:14:57Z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